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ddy_quinonez\Desktop\Eficiencias\"/>
    </mc:Choice>
  </mc:AlternateContent>
  <xr:revisionPtr revIDLastSave="0" documentId="13_ncr:1_{8F9BE999-98B9-4CE8-9A7B-B2CF1C937C2F}" xr6:coauthVersionLast="47" xr6:coauthVersionMax="47" xr10:uidLastSave="{00000000-0000-0000-0000-000000000000}"/>
  <workbookProtection workbookAlgorithmName="SHA-512" workbookHashValue="esBvyMJIaRwB5yrghz5Hu+D3KUZCUpEZMqZ/9+JLvkmJSWG1+H+Pn7CutwOYoM7qjoUYDb8oIXhUleYZ4vFICg==" workbookSaltValue="m4nvcKPYP+4Evu8dmdVszg==" workbookSpinCount="100000" lockStructure="1"/>
  <bookViews>
    <workbookView xWindow="-110" yWindow="-110" windowWidth="19420" windowHeight="10300" activeTab="4" xr2:uid="{151EBD65-F474-4FD9-9370-34A6A0AB5DB0}"/>
  </bookViews>
  <sheets>
    <sheet name="CUENTAS A LA VISTA" sheetId="1" r:id="rId1"/>
    <sheet name="Cotizador CDP" sheetId="6" state="hidden" r:id="rId2"/>
    <sheet name="CDP" sheetId="7" r:id="rId3"/>
    <sheet name="Ahorro Progresivo" sheetId="8" r:id="rId4"/>
    <sheet name="GENERICO" sheetId="9" r:id="rId5"/>
    <sheet name="Formulas" sheetId="4" state="hidden" r:id="rId6"/>
  </sheets>
  <definedNames>
    <definedName name="_xlnm._FilterDatabase" localSheetId="3" hidden="1">'Ahorro Progresivo'!$C$30:$H$31</definedName>
    <definedName name="_xlnm.Print_Area" localSheetId="3">'Ahorro Progresivo'!$A$1:$K$30</definedName>
    <definedName name="_xlnm.Print_Area" localSheetId="2">'CDP'!$A$1:$K$31</definedName>
    <definedName name="_xlnm.Print_Area" localSheetId="0">'CUENTAS A LA VISTA'!$A$1:$L$28</definedName>
    <definedName name="_xlnm.Print_Area" localSheetId="4">GENERICO!$A$1:$L$30</definedName>
    <definedName name="_xlnm.Criteria" localSheetId="3">'Ahorro Progresivo'!$F$8:$H$8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9" l="1"/>
  <c r="B24" i="9"/>
  <c r="D31" i="8"/>
  <c r="F18" i="9" l="1"/>
  <c r="F20" i="9" s="1"/>
  <c r="F14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E85" i="8" l="1"/>
  <c r="E77" i="8"/>
  <c r="E69" i="8"/>
  <c r="E61" i="8"/>
  <c r="E53" i="8"/>
  <c r="E45" i="8"/>
  <c r="E37" i="8"/>
  <c r="E84" i="8"/>
  <c r="E76" i="8"/>
  <c r="E68" i="8"/>
  <c r="E60" i="8"/>
  <c r="E52" i="8"/>
  <c r="E44" i="8"/>
  <c r="E36" i="8"/>
  <c r="E75" i="8"/>
  <c r="E67" i="8"/>
  <c r="E59" i="8"/>
  <c r="E51" i="8"/>
  <c r="E43" i="8"/>
  <c r="E35" i="8"/>
  <c r="E90" i="8"/>
  <c r="E82" i="8"/>
  <c r="E74" i="8"/>
  <c r="E66" i="8"/>
  <c r="E58" i="8"/>
  <c r="E50" i="8"/>
  <c r="E42" i="8"/>
  <c r="E34" i="8"/>
  <c r="E54" i="8"/>
  <c r="E83" i="8"/>
  <c r="E62" i="8"/>
  <c r="E38" i="8"/>
  <c r="E89" i="8"/>
  <c r="E81" i="8"/>
  <c r="E73" i="8"/>
  <c r="E65" i="8"/>
  <c r="E57" i="8"/>
  <c r="E49" i="8"/>
  <c r="E41" i="8"/>
  <c r="E33" i="8"/>
  <c r="E88" i="8"/>
  <c r="E80" i="8"/>
  <c r="E72" i="8"/>
  <c r="E64" i="8"/>
  <c r="E56" i="8"/>
  <c r="E48" i="8"/>
  <c r="E40" i="8"/>
  <c r="E32" i="8"/>
  <c r="E87" i="8"/>
  <c r="E79" i="8"/>
  <c r="E71" i="8"/>
  <c r="E63" i="8"/>
  <c r="E55" i="8"/>
  <c r="E47" i="8"/>
  <c r="E39" i="8"/>
  <c r="E31" i="8"/>
  <c r="F31" i="8" s="1"/>
  <c r="E86" i="8"/>
  <c r="E78" i="8"/>
  <c r="E70" i="8"/>
  <c r="E46" i="8"/>
  <c r="G31" i="8" l="1"/>
  <c r="H31" i="8" s="1"/>
  <c r="B26" i="7"/>
  <c r="B22" i="1"/>
  <c r="C17" i="4"/>
  <c r="D17" i="4" s="1"/>
  <c r="B17" i="4"/>
  <c r="E17" i="4" s="1"/>
  <c r="B10" i="4"/>
  <c r="C10" i="4" s="1"/>
  <c r="B9" i="4"/>
  <c r="F32" i="8" l="1"/>
  <c r="B13" i="4"/>
  <c r="E13" i="4" s="1"/>
  <c r="B15" i="4"/>
  <c r="B16" i="4"/>
  <c r="C15" i="4"/>
  <c r="C16" i="4"/>
  <c r="B14" i="4"/>
  <c r="C14" i="4"/>
  <c r="C13" i="4"/>
  <c r="D13" i="4" s="1"/>
  <c r="B4" i="4"/>
  <c r="B5" i="4"/>
  <c r="C5" i="4" s="1"/>
  <c r="B6" i="4"/>
  <c r="C6" i="4" s="1"/>
  <c r="B7" i="4"/>
  <c r="B8" i="4"/>
  <c r="G32" i="8" l="1"/>
  <c r="D16" i="4"/>
  <c r="E16" i="4"/>
  <c r="E15" i="4"/>
  <c r="D15" i="4"/>
  <c r="E14" i="4"/>
  <c r="D14" i="4"/>
  <c r="F14" i="7" s="1"/>
  <c r="C9" i="4"/>
  <c r="C4" i="4"/>
  <c r="B3" i="4"/>
  <c r="B2" i="4"/>
  <c r="H32" i="8" l="1"/>
  <c r="F33" i="8" s="1"/>
  <c r="C3" i="4"/>
  <c r="C7" i="4"/>
  <c r="F16" i="7"/>
  <c r="F18" i="7" s="1"/>
  <c r="C2" i="4"/>
  <c r="F12" i="1" s="1"/>
  <c r="B5" i="6"/>
  <c r="B7" i="6" s="1"/>
  <c r="B8" i="6" s="1"/>
  <c r="B9" i="6" s="1"/>
  <c r="F14" i="1" l="1"/>
  <c r="F16" i="1" s="1"/>
  <c r="F18" i="1" s="1"/>
  <c r="G33" i="8"/>
  <c r="F20" i="7"/>
  <c r="F22" i="7" s="1"/>
  <c r="H33" i="8" l="1"/>
  <c r="F34" i="8" s="1"/>
  <c r="G34" i="8" l="1"/>
  <c r="H34" i="8" l="1"/>
  <c r="F35" i="8" s="1"/>
  <c r="G35" i="8" l="1"/>
  <c r="H35" i="8" l="1"/>
  <c r="F36" i="8" s="1"/>
  <c r="G36" i="8" s="1"/>
  <c r="H36" i="8" s="1"/>
  <c r="F37" i="8" s="1"/>
  <c r="G37" i="8" s="1"/>
  <c r="H37" i="8" s="1"/>
  <c r="F38" i="8" s="1"/>
  <c r="G38" i="8" s="1"/>
  <c r="H38" i="8" s="1"/>
  <c r="F39" i="8" s="1"/>
  <c r="G39" i="8" s="1"/>
  <c r="H39" i="8" s="1"/>
  <c r="F40" i="8" s="1"/>
  <c r="G40" i="8" s="1"/>
  <c r="H40" i="8" s="1"/>
  <c r="F41" i="8" s="1"/>
  <c r="G41" i="8" s="1"/>
  <c r="H41" i="8" s="1"/>
  <c r="F42" i="8" s="1"/>
  <c r="G42" i="8" l="1"/>
  <c r="H42" i="8" l="1"/>
  <c r="F43" i="8" l="1"/>
  <c r="G43" i="8" l="1"/>
  <c r="H43" i="8" l="1"/>
  <c r="F44" i="8" s="1"/>
  <c r="G44" i="8" l="1"/>
  <c r="H44" i="8" l="1"/>
  <c r="F45" i="8" s="1"/>
  <c r="G45" i="8" l="1"/>
  <c r="H45" i="8" l="1"/>
  <c r="F46" i="8" s="1"/>
  <c r="G46" i="8" l="1"/>
  <c r="H46" i="8" l="1"/>
  <c r="F47" i="8" s="1"/>
  <c r="G47" i="8" l="1"/>
  <c r="H47" i="8" l="1"/>
  <c r="F48" i="8" s="1"/>
  <c r="G48" i="8" s="1"/>
  <c r="H48" i="8" s="1"/>
  <c r="F49" i="8" s="1"/>
  <c r="G49" i="8" s="1"/>
  <c r="H49" i="8" s="1"/>
  <c r="F50" i="8" s="1"/>
  <c r="G50" i="8" s="1"/>
  <c r="H50" i="8" s="1"/>
  <c r="F51" i="8" s="1"/>
  <c r="G51" i="8" s="1"/>
  <c r="H51" i="8" s="1"/>
  <c r="F52" i="8" s="1"/>
  <c r="G52" i="8" s="1"/>
  <c r="H52" i="8" s="1"/>
  <c r="F53" i="8" s="1"/>
  <c r="G53" i="8" s="1"/>
  <c r="H53" i="8" s="1"/>
  <c r="F54" i="8" s="1"/>
  <c r="G54" i="8" s="1"/>
  <c r="H54" i="8" s="1"/>
  <c r="F55" i="8" s="1"/>
  <c r="G55" i="8" s="1"/>
  <c r="H55" i="8" s="1"/>
  <c r="F56" i="8" s="1"/>
  <c r="G56" i="8" s="1"/>
  <c r="H56" i="8" s="1"/>
  <c r="F57" i="8" l="1"/>
  <c r="G57" i="8" s="1"/>
  <c r="H57" i="8" s="1"/>
  <c r="F58" i="8" l="1"/>
  <c r="G58" i="8" s="1"/>
  <c r="H58" i="8" s="1"/>
  <c r="F59" i="8" l="1"/>
  <c r="G59" i="8" s="1"/>
  <c r="H59" i="8" s="1"/>
  <c r="F60" i="8" l="1"/>
  <c r="G60" i="8" s="1"/>
  <c r="H60" i="8" s="1"/>
  <c r="F61" i="8" l="1"/>
  <c r="G61" i="8" s="1"/>
  <c r="H61" i="8" s="1"/>
  <c r="F62" i="8" l="1"/>
  <c r="G62" i="8" s="1"/>
  <c r="H62" i="8" s="1"/>
  <c r="F63" i="8" l="1"/>
  <c r="G63" i="8" s="1"/>
  <c r="H63" i="8" s="1"/>
  <c r="F64" i="8" l="1"/>
  <c r="G64" i="8" s="1"/>
  <c r="H64" i="8" s="1"/>
  <c r="F65" i="8" l="1"/>
  <c r="G65" i="8" s="1"/>
  <c r="H65" i="8" s="1"/>
  <c r="F66" i="8" l="1"/>
  <c r="G66" i="8" s="1"/>
  <c r="H66" i="8" s="1"/>
  <c r="F67" i="8" l="1"/>
  <c r="G67" i="8" s="1"/>
  <c r="H67" i="8" s="1"/>
  <c r="F68" i="8" l="1"/>
  <c r="G68" i="8" s="1"/>
  <c r="H68" i="8" s="1"/>
  <c r="F69" i="8" l="1"/>
  <c r="G69" i="8" s="1"/>
  <c r="H69" i="8" s="1"/>
  <c r="F70" i="8" l="1"/>
  <c r="G70" i="8" s="1"/>
  <c r="H70" i="8" s="1"/>
  <c r="F71" i="8" l="1"/>
  <c r="G71" i="8" s="1"/>
  <c r="H71" i="8" s="1"/>
  <c r="F72" i="8" l="1"/>
  <c r="G72" i="8" s="1"/>
  <c r="H72" i="8" s="1"/>
  <c r="F73" i="8" l="1"/>
  <c r="G73" i="8" s="1"/>
  <c r="H73" i="8" s="1"/>
  <c r="F74" i="8" l="1"/>
  <c r="G74" i="8" s="1"/>
  <c r="H74" i="8" s="1"/>
  <c r="F75" i="8" l="1"/>
  <c r="G75" i="8" s="1"/>
  <c r="H75" i="8" s="1"/>
  <c r="F76" i="8" l="1"/>
  <c r="G76" i="8" s="1"/>
  <c r="H76" i="8" s="1"/>
  <c r="F77" i="8" l="1"/>
  <c r="G77" i="8" s="1"/>
  <c r="H77" i="8" s="1"/>
  <c r="F78" i="8" l="1"/>
  <c r="G78" i="8" s="1"/>
  <c r="H78" i="8" s="1"/>
  <c r="F79" i="8" l="1"/>
  <c r="G79" i="8" s="1"/>
  <c r="H79" i="8" s="1"/>
  <c r="F80" i="8" l="1"/>
  <c r="G80" i="8" s="1"/>
  <c r="H80" i="8" s="1"/>
  <c r="F81" i="8" l="1"/>
  <c r="G81" i="8" s="1"/>
  <c r="H81" i="8" s="1"/>
  <c r="F82" i="8" l="1"/>
  <c r="G82" i="8" s="1"/>
  <c r="H82" i="8" s="1"/>
  <c r="F83" i="8" l="1"/>
  <c r="G83" i="8" s="1"/>
  <c r="H83" i="8" s="1"/>
  <c r="F84" i="8" l="1"/>
  <c r="G84" i="8" s="1"/>
  <c r="H84" i="8" s="1"/>
  <c r="F85" i="8" l="1"/>
  <c r="G85" i="8" s="1"/>
  <c r="H85" i="8" s="1"/>
  <c r="F86" i="8" l="1"/>
  <c r="G86" i="8" s="1"/>
  <c r="H86" i="8" s="1"/>
  <c r="F87" i="8" l="1"/>
  <c r="G87" i="8" s="1"/>
  <c r="H87" i="8" s="1"/>
  <c r="F88" i="8" l="1"/>
  <c r="G88" i="8" s="1"/>
  <c r="H88" i="8" s="1"/>
  <c r="F89" i="8" l="1"/>
  <c r="G89" i="8" s="1"/>
  <c r="H89" i="8" s="1"/>
  <c r="F90" i="8" l="1"/>
  <c r="G90" i="8" l="1"/>
  <c r="F17" i="8"/>
  <c r="H90" i="8" l="1"/>
  <c r="F21" i="8" s="1"/>
  <c r="F19" i="8"/>
</calcChain>
</file>

<file path=xl/sharedStrings.xml><?xml version="1.0" encoding="utf-8"?>
<sst xmlns="http://schemas.openxmlformats.org/spreadsheetml/2006/main" count="163" uniqueCount="77">
  <si>
    <t>Producto</t>
  </si>
  <si>
    <t>Nombre del Producto</t>
  </si>
  <si>
    <t>Monto</t>
  </si>
  <si>
    <t>Tasa Anual</t>
  </si>
  <si>
    <t>Interes Mensual Bruto</t>
  </si>
  <si>
    <t>ISR</t>
  </si>
  <si>
    <t>Interes Mensual Neto</t>
  </si>
  <si>
    <t>CDP</t>
  </si>
  <si>
    <t>Tasa</t>
  </si>
  <si>
    <t>Plazo en Días</t>
  </si>
  <si>
    <t>Jubilados</t>
  </si>
  <si>
    <t>Personas</t>
  </si>
  <si>
    <t>Dolares</t>
  </si>
  <si>
    <t>Plazo</t>
  </si>
  <si>
    <t>SELECCIONE TIPO DE PRODUCTO</t>
  </si>
  <si>
    <t>INGRESE MONTO</t>
  </si>
  <si>
    <t>PRODUCTO</t>
  </si>
  <si>
    <t>MONTO</t>
  </si>
  <si>
    <t>TASA</t>
  </si>
  <si>
    <t>BT MONETARIA VITAL</t>
  </si>
  <si>
    <t>MONETARIA DOLARES</t>
  </si>
  <si>
    <t>AHORRO REAL</t>
  </si>
  <si>
    <t>AHORRO COLABORADOR</t>
  </si>
  <si>
    <t>JUBILADOS</t>
  </si>
  <si>
    <t>PERSONAS</t>
  </si>
  <si>
    <t>DOLARES</t>
  </si>
  <si>
    <t>BT AHORRO TRABAJADOR</t>
  </si>
  <si>
    <t>BT AHORRO VITAL</t>
  </si>
  <si>
    <t>BT AHORRO DOLARES</t>
  </si>
  <si>
    <t>MONETARIA</t>
  </si>
  <si>
    <t>AHORRO</t>
  </si>
  <si>
    <t>SELECCIONE NOMBRE DE PRODUCTO</t>
  </si>
  <si>
    <t>COTIZADOR DE PRODUCTOS A LA VISTA</t>
  </si>
  <si>
    <t>SELECCIONE PLAZO EN DÍAS</t>
  </si>
  <si>
    <t>COTIZADOR DE PRODUCTOS CERTIFICADO A PLAZO</t>
  </si>
  <si>
    <t>RANGO</t>
  </si>
  <si>
    <t>TASA DE INTERES NOMINAL</t>
  </si>
  <si>
    <t>En Adelante</t>
  </si>
  <si>
    <t>INSTITUCIONES</t>
  </si>
  <si>
    <t>Total  Interés Neto</t>
  </si>
  <si>
    <t>Meses</t>
  </si>
  <si>
    <t>AHORRO EMPRESAS</t>
  </si>
  <si>
    <t>Ahorro Empresas se toma el saldo menor del mes para el cálculo de interés</t>
  </si>
  <si>
    <t>Los resultados de esta calculadora, son datos generados con base a los parámetros ingresados por el usuario. Los datos procesados y facilitados son    únicamente de carácter informativo y no deben de utilizarse o considerarse como una oferta completa de venta. Banco de Los Trabajadores no responsabiliza por decisiones tomadas con base al resultado de esta calculadora.</t>
  </si>
  <si>
    <t>Descripción</t>
  </si>
  <si>
    <t>Cuenta exclusiva para colaboradores de Bantrab</t>
  </si>
  <si>
    <t>AHORRO PIACE</t>
  </si>
  <si>
    <t>PIACE</t>
  </si>
  <si>
    <t>Cuenta exclusiva para accionistas de Bantrab</t>
  </si>
  <si>
    <t>Abre una cuenta BT Ahorro en Dólares con US$1,000 y observa cómo crecen tus ahorros rápidamente.</t>
  </si>
  <si>
    <t>Abre una cuenta Ahorro Real con Q1,000 y haz que tus ahorros crezcan rápidamente.</t>
  </si>
  <si>
    <t>Abre una cuenta BT Ahorro Vital con Q1,000 y observa cómo crecen tus ahorros rápidamente.</t>
  </si>
  <si>
    <t>Con Q500 puedes empezar a cumplir tus sueños financieros en Bantrab.</t>
  </si>
  <si>
    <t>Abre tu cuenta con US$1,000 y empieza a ganar el 0.5% de interés. </t>
  </si>
  <si>
    <t>Abre tu cuenta con Q1,000 y cuando lo dupliques, Bantrab empieza a pagarte intereses.</t>
  </si>
  <si>
    <t>A partir de US$1,000 obtén un rendimiento superior a una cuenta de ahorro</t>
  </si>
  <si>
    <t>Ofrece la mejor tasa de interés a personas mayores de 60 años por inversiones de 2 años</t>
  </si>
  <si>
    <t>Si tu empresa ha generado Q100,000 o más y actualmente no los necesitas reinvertir, puedes abrir un Certificado de Depósito a Plazo Fijo (CDP) bajo el Plan Empresas.</t>
  </si>
  <si>
    <t>Cuenta exclusiva para accionistas de Bantrab. Cuenta no puede pasar de los Q.3,000,000</t>
  </si>
  <si>
    <t>Ofrece las mejores tasas de interés por tu inversión de 6, 12 o 24 meses</t>
  </si>
  <si>
    <t>BT AHORRO PROGRESIVO</t>
  </si>
  <si>
    <t>SELECCIONE PLAZO EN MESES</t>
  </si>
  <si>
    <t>PLAZO</t>
  </si>
  <si>
    <t>INGRESE APORTE MENSUAL</t>
  </si>
  <si>
    <t>APORTE MENSUAL</t>
  </si>
  <si>
    <t>INTERES NETO</t>
  </si>
  <si>
    <t>SALDO</t>
  </si>
  <si>
    <t>INTERES BRUTO</t>
  </si>
  <si>
    <t>Interes Total Bruto</t>
  </si>
  <si>
    <t>Interes Total Neto</t>
  </si>
  <si>
    <t>Total Final Plazo</t>
  </si>
  <si>
    <t>MES</t>
  </si>
  <si>
    <t>COTIZADOR DE PRODUCTO BT AHORRO PROGRESIVO</t>
  </si>
  <si>
    <t>INGRESE APORTE INICIAL</t>
  </si>
  <si>
    <t>Ofrece una tasa de interés de acuerdo con plan de aporte seleccionado. A mayor plazo, mejor rentabilidad. Con aportes minimos de Q.50 hasta un maximo de Q. 100,000.00</t>
  </si>
  <si>
    <t>Ofrece una tasa de interés de acuerdo con plan de aporte seleccionado. A mayor plazo, mejor rentabilidad. Con aportes mínimos de Q.50 hasta un máximo de Q. 100,000.00</t>
  </si>
  <si>
    <t>COTIZADOR DE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</si>
</sst>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Q-100A]#,##0.00;\-[$Q-100A]#,##0.00"/>
    <numFmt numFmtId="167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34998626667073579"/>
      <name val="Abadi"/>
      <family val="2"/>
    </font>
    <font>
      <sz val="11"/>
      <color rgb="FF2E9A9A"/>
      <name val="Abadi"/>
      <family val="2"/>
    </font>
    <font>
      <sz val="12"/>
      <color theme="2" tint="-0.749992370372631"/>
      <name val="Abadi"/>
      <family val="2"/>
    </font>
    <font>
      <sz val="12"/>
      <color theme="1"/>
      <name val="Calibri"/>
      <family val="2"/>
      <scheme val="minor"/>
    </font>
    <font>
      <b/>
      <sz val="12"/>
      <color theme="1" tint="0.499984740745262"/>
      <name val="Abadi"/>
      <family val="2"/>
    </font>
    <font>
      <sz val="12"/>
      <color theme="1"/>
      <name val="Calibri"/>
      <family val="2"/>
    </font>
    <font>
      <sz val="12"/>
      <color theme="1" tint="0.499984740745262"/>
      <name val="Abadi"/>
      <family val="2"/>
    </font>
    <font>
      <sz val="12"/>
      <color theme="1" tint="0.499984740745262"/>
      <name val="Calibri"/>
      <family val="2"/>
      <scheme val="minor"/>
    </font>
    <font>
      <b/>
      <sz val="12"/>
      <color rgb="FFDA4694"/>
      <name val="Abadi"/>
      <family val="2"/>
    </font>
    <font>
      <b/>
      <sz val="12"/>
      <color rgb="FF2E9A9A"/>
      <name val="Abadi"/>
      <family val="2"/>
    </font>
    <font>
      <b/>
      <sz val="10"/>
      <name val="Arial"/>
      <family val="2"/>
    </font>
    <font>
      <sz val="7"/>
      <color theme="1"/>
      <name val="Calibri"/>
      <family val="2"/>
      <scheme val="minor"/>
    </font>
    <font>
      <sz val="10"/>
      <color rgb="FF2E9A9A"/>
      <name val="Abad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DA4694"/>
      </top>
      <bottom style="thin">
        <color rgb="FFDA469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43" fontId="0" fillId="0" borderId="0" xfId="1" applyFont="1"/>
    <xf numFmtId="10" fontId="0" fillId="0" borderId="0" xfId="2" applyNumberFormat="1" applyFont="1"/>
    <xf numFmtId="0" fontId="2" fillId="0" borderId="0" xfId="0" applyFont="1"/>
    <xf numFmtId="10" fontId="2" fillId="0" borderId="0" xfId="2" applyNumberFormat="1" applyFont="1" applyProtection="1"/>
    <xf numFmtId="0" fontId="2" fillId="0" borderId="1" xfId="0" applyFont="1" applyBorder="1"/>
    <xf numFmtId="43" fontId="2" fillId="0" borderId="0" xfId="0" applyNumberFormat="1" applyFont="1"/>
    <xf numFmtId="10" fontId="2" fillId="0" borderId="0" xfId="0" applyNumberFormat="1" applyFont="1"/>
    <xf numFmtId="44" fontId="9" fillId="4" borderId="0" xfId="3" applyFont="1" applyFill="1" applyBorder="1" applyAlignment="1" applyProtection="1">
      <alignment horizontal="center"/>
    </xf>
    <xf numFmtId="10" fontId="2" fillId="0" borderId="0" xfId="2" applyNumberFormat="1" applyFont="1"/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164" fontId="13" fillId="0" borderId="21" xfId="0" applyNumberFormat="1" applyFont="1" applyBorder="1" applyAlignment="1">
      <alignment vertical="center"/>
    </xf>
    <xf numFmtId="164" fontId="13" fillId="0" borderId="22" xfId="0" applyNumberFormat="1" applyFont="1" applyBorder="1" applyAlignment="1">
      <alignment vertical="center"/>
    </xf>
    <xf numFmtId="10" fontId="13" fillId="4" borderId="21" xfId="0" applyNumberFormat="1" applyFont="1" applyFill="1" applyBorder="1" applyAlignment="1">
      <alignment horizontal="center" vertical="center"/>
    </xf>
    <xf numFmtId="10" fontId="13" fillId="0" borderId="23" xfId="0" applyNumberFormat="1" applyFont="1" applyBorder="1" applyAlignment="1">
      <alignment horizontal="center" vertical="center"/>
    </xf>
    <xf numFmtId="10" fontId="13" fillId="4" borderId="22" xfId="0" applyNumberFormat="1" applyFont="1" applyFill="1" applyBorder="1" applyAlignment="1">
      <alignment horizontal="center" vertical="center"/>
    </xf>
    <xf numFmtId="164" fontId="13" fillId="0" borderId="24" xfId="0" applyNumberFormat="1" applyFont="1" applyBorder="1" applyAlignment="1">
      <alignment vertical="center"/>
    </xf>
    <xf numFmtId="164" fontId="13" fillId="0" borderId="25" xfId="0" applyNumberFormat="1" applyFont="1" applyBorder="1" applyAlignment="1">
      <alignment horizontal="right" vertical="center"/>
    </xf>
    <xf numFmtId="10" fontId="13" fillId="4" borderId="24" xfId="0" applyNumberFormat="1" applyFont="1" applyFill="1" applyBorder="1" applyAlignment="1">
      <alignment horizontal="center" vertical="center"/>
    </xf>
    <xf numFmtId="10" fontId="13" fillId="0" borderId="26" xfId="0" applyNumberFormat="1" applyFont="1" applyBorder="1" applyAlignment="1">
      <alignment horizontal="center" vertical="center"/>
    </xf>
    <xf numFmtId="10" fontId="13" fillId="4" borderId="25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2" fontId="9" fillId="4" borderId="0" xfId="3" applyNumberFormat="1" applyFont="1" applyFill="1" applyBorder="1" applyAlignment="1" applyProtection="1">
      <alignment horizontal="center"/>
    </xf>
    <xf numFmtId="2" fontId="4" fillId="3" borderId="0" xfId="0" applyNumberFormat="1" applyFont="1" applyFill="1" applyAlignment="1" applyProtection="1">
      <alignment horizontal="right"/>
      <protection locked="0"/>
    </xf>
    <xf numFmtId="166" fontId="9" fillId="4" borderId="0" xfId="1" applyNumberFormat="1" applyFont="1" applyFill="1" applyAlignment="1" applyProtection="1">
      <alignment horizontal="right"/>
    </xf>
    <xf numFmtId="166" fontId="9" fillId="4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6" fillId="2" borderId="5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0" xfId="0" applyFont="1" applyFill="1"/>
    <xf numFmtId="0" fontId="4" fillId="3" borderId="0" xfId="0" applyFont="1" applyFill="1" applyAlignment="1">
      <alignment horizontal="left"/>
    </xf>
    <xf numFmtId="0" fontId="8" fillId="3" borderId="6" xfId="0" applyFont="1" applyFill="1" applyBorder="1"/>
    <xf numFmtId="0" fontId="4" fillId="3" borderId="0" xfId="0" applyFont="1" applyFill="1" applyAlignment="1">
      <alignment horizontal="right"/>
    </xf>
    <xf numFmtId="0" fontId="6" fillId="3" borderId="6" xfId="0" applyFont="1" applyFill="1" applyBorder="1"/>
    <xf numFmtId="0" fontId="7" fillId="3" borderId="0" xfId="0" applyFont="1" applyFill="1"/>
    <xf numFmtId="0" fontId="5" fillId="3" borderId="0" xfId="0" applyFont="1" applyFill="1" applyAlignment="1">
      <alignment horizontal="right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6" fillId="0" borderId="0" xfId="0" applyFont="1"/>
    <xf numFmtId="0" fontId="6" fillId="4" borderId="0" xfId="0" applyFont="1" applyFill="1"/>
    <xf numFmtId="0" fontId="6" fillId="3" borderId="7" xfId="0" applyFont="1" applyFill="1" applyBorder="1"/>
    <xf numFmtId="0" fontId="6" fillId="3" borderId="8" xfId="0" applyFont="1" applyFill="1" applyBorder="1"/>
    <xf numFmtId="0" fontId="10" fillId="3" borderId="8" xfId="0" applyFont="1" applyFill="1" applyBorder="1"/>
    <xf numFmtId="0" fontId="6" fillId="3" borderId="9" xfId="0" applyFont="1" applyFill="1" applyBorder="1"/>
    <xf numFmtId="2" fontId="6" fillId="2" borderId="0" xfId="0" applyNumberFormat="1" applyFont="1" applyFill="1"/>
    <xf numFmtId="2" fontId="6" fillId="2" borderId="5" xfId="0" applyNumberFormat="1" applyFont="1" applyFill="1" applyBorder="1"/>
    <xf numFmtId="2" fontId="6" fillId="3" borderId="2" xfId="0" applyNumberFormat="1" applyFont="1" applyFill="1" applyBorder="1"/>
    <xf numFmtId="2" fontId="6" fillId="3" borderId="3" xfId="0" applyNumberFormat="1" applyFont="1" applyFill="1" applyBorder="1"/>
    <xf numFmtId="2" fontId="6" fillId="3" borderId="4" xfId="0" applyNumberFormat="1" applyFont="1" applyFill="1" applyBorder="1"/>
    <xf numFmtId="2" fontId="6" fillId="3" borderId="5" xfId="0" applyNumberFormat="1" applyFont="1" applyFill="1" applyBorder="1"/>
    <xf numFmtId="2" fontId="6" fillId="3" borderId="0" xfId="0" applyNumberFormat="1" applyFont="1" applyFill="1"/>
    <xf numFmtId="2" fontId="4" fillId="3" borderId="0" xfId="0" applyNumberFormat="1" applyFont="1" applyFill="1" applyAlignment="1">
      <alignment horizontal="left"/>
    </xf>
    <xf numFmtId="2" fontId="4" fillId="3" borderId="0" xfId="0" applyNumberFormat="1" applyFont="1" applyFill="1" applyAlignment="1">
      <alignment horizontal="right"/>
    </xf>
    <xf numFmtId="2" fontId="8" fillId="3" borderId="6" xfId="0" applyNumberFormat="1" applyFont="1" applyFill="1" applyBorder="1"/>
    <xf numFmtId="2" fontId="6" fillId="3" borderId="6" xfId="0" applyNumberFormat="1" applyFont="1" applyFill="1" applyBorder="1"/>
    <xf numFmtId="2" fontId="7" fillId="3" borderId="0" xfId="0" applyNumberFormat="1" applyFont="1" applyFill="1"/>
    <xf numFmtId="2" fontId="5" fillId="3" borderId="0" xfId="0" applyNumberFormat="1" applyFont="1" applyFill="1" applyAlignment="1">
      <alignment horizontal="right"/>
    </xf>
    <xf numFmtId="2" fontId="9" fillId="3" borderId="0" xfId="0" applyNumberFormat="1" applyFont="1" applyFill="1" applyAlignment="1">
      <alignment horizontal="left"/>
    </xf>
    <xf numFmtId="2" fontId="9" fillId="3" borderId="0" xfId="0" applyNumberFormat="1" applyFont="1" applyFill="1"/>
    <xf numFmtId="2" fontId="9" fillId="4" borderId="0" xfId="0" applyNumberFormat="1" applyFont="1" applyFill="1"/>
    <xf numFmtId="2" fontId="9" fillId="4" borderId="0" xfId="0" applyNumberFormat="1" applyFont="1" applyFill="1" applyAlignment="1">
      <alignment horizontal="left"/>
    </xf>
    <xf numFmtId="2" fontId="5" fillId="4" borderId="0" xfId="0" applyNumberFormat="1" applyFont="1" applyFill="1" applyAlignment="1">
      <alignment horizontal="right"/>
    </xf>
    <xf numFmtId="2" fontId="6" fillId="0" borderId="0" xfId="0" applyNumberFormat="1" applyFont="1"/>
    <xf numFmtId="2" fontId="6" fillId="4" borderId="0" xfId="0" applyNumberFormat="1" applyFont="1" applyFill="1"/>
    <xf numFmtId="2" fontId="6" fillId="3" borderId="7" xfId="0" applyNumberFormat="1" applyFont="1" applyFill="1" applyBorder="1"/>
    <xf numFmtId="2" fontId="6" fillId="3" borderId="8" xfId="0" applyNumberFormat="1" applyFont="1" applyFill="1" applyBorder="1"/>
    <xf numFmtId="2" fontId="10" fillId="3" borderId="8" xfId="0" applyNumberFormat="1" applyFont="1" applyFill="1" applyBorder="1"/>
    <xf numFmtId="2" fontId="6" fillId="3" borderId="9" xfId="0" applyNumberFormat="1" applyFont="1" applyFill="1" applyBorder="1"/>
    <xf numFmtId="2" fontId="0" fillId="0" borderId="0" xfId="0" applyNumberFormat="1"/>
    <xf numFmtId="2" fontId="4" fillId="3" borderId="0" xfId="0" applyNumberFormat="1" applyFont="1" applyFill="1" applyAlignment="1" applyProtection="1">
      <alignment horizontal="left"/>
      <protection locked="0"/>
    </xf>
    <xf numFmtId="10" fontId="16" fillId="3" borderId="27" xfId="2" applyNumberFormat="1" applyFont="1" applyFill="1" applyBorder="1" applyProtection="1"/>
    <xf numFmtId="167" fontId="16" fillId="3" borderId="27" xfId="0" applyNumberFormat="1" applyFont="1" applyFill="1" applyBorder="1"/>
    <xf numFmtId="2" fontId="15" fillId="3" borderId="27" xfId="0" applyNumberFormat="1" applyFont="1" applyFill="1" applyBorder="1" applyAlignment="1">
      <alignment horizontal="left"/>
    </xf>
    <xf numFmtId="1" fontId="16" fillId="3" borderId="27" xfId="0" applyNumberFormat="1" applyFont="1" applyFill="1" applyBorder="1"/>
    <xf numFmtId="167" fontId="6" fillId="2" borderId="0" xfId="0" applyNumberFormat="1" applyFont="1" applyFill="1"/>
    <xf numFmtId="0" fontId="14" fillId="3" borderId="27" xfId="0" applyFont="1" applyFill="1" applyBorder="1" applyAlignment="1">
      <alignment horizontal="left" wrapText="1"/>
    </xf>
    <xf numFmtId="0" fontId="14" fillId="3" borderId="2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left"/>
    </xf>
    <xf numFmtId="10" fontId="11" fillId="3" borderId="0" xfId="2" applyNumberFormat="1" applyFont="1" applyFill="1" applyBorder="1" applyAlignment="1" applyProtection="1">
      <alignment horizontal="right"/>
    </xf>
    <xf numFmtId="166" fontId="9" fillId="3" borderId="0" xfId="1" applyNumberFormat="1" applyFont="1" applyFill="1" applyBorder="1" applyAlignment="1" applyProtection="1">
      <alignment horizontal="right"/>
    </xf>
    <xf numFmtId="0" fontId="4" fillId="3" borderId="0" xfId="0" applyFont="1" applyFill="1" applyAlignment="1" applyProtection="1">
      <alignment horizontal="right"/>
      <protection locked="0"/>
    </xf>
    <xf numFmtId="166" fontId="12" fillId="2" borderId="12" xfId="3" applyNumberFormat="1" applyFont="1" applyFill="1" applyBorder="1" applyAlignment="1" applyProtection="1">
      <alignment horizontal="right"/>
      <protection locked="0"/>
    </xf>
    <xf numFmtId="2" fontId="14" fillId="3" borderId="27" xfId="0" applyNumberFormat="1" applyFont="1" applyFill="1" applyBorder="1" applyAlignment="1">
      <alignment horizontal="left" wrapText="1"/>
    </xf>
    <xf numFmtId="2" fontId="3" fillId="3" borderId="10" xfId="0" applyNumberFormat="1" applyFont="1" applyFill="1" applyBorder="1" applyAlignment="1">
      <alignment horizontal="center" vertical="top"/>
    </xf>
    <xf numFmtId="2" fontId="3" fillId="3" borderId="11" xfId="0" applyNumberFormat="1" applyFont="1" applyFill="1" applyBorder="1" applyAlignment="1">
      <alignment horizontal="center" vertical="top"/>
    </xf>
    <xf numFmtId="2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  <protection locked="0"/>
    </xf>
    <xf numFmtId="2" fontId="9" fillId="3" borderId="0" xfId="0" applyNumberFormat="1" applyFont="1" applyFill="1" applyAlignment="1">
      <alignment horizontal="left"/>
    </xf>
    <xf numFmtId="1" fontId="4" fillId="3" borderId="0" xfId="0" applyNumberFormat="1" applyFont="1" applyFill="1" applyProtection="1">
      <protection locked="0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15">
    <dxf>
      <fill>
        <patternFill>
          <bgColor rgb="FFFF0000"/>
        </patternFill>
      </fill>
    </dxf>
    <dxf>
      <font>
        <color rgb="FF2E9A9A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rgb="FF000000"/>
          <bgColor rgb="FFFFFFFF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rgb="FF000000"/>
          <bgColor rgb="FFFFFFFF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protection locked="1" hidden="0"/>
    </dxf>
  </dxfs>
  <tableStyles count="0" defaultTableStyle="TableStyleMedium2" defaultPivotStyle="PivotStyleLight16"/>
  <colors>
    <mruColors>
      <color rgb="FF2E9A9A"/>
      <color rgb="FFF0F0F0"/>
      <color rgb="FFDA4694"/>
      <color rgb="FF9933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21778</xdr:colOff>
      <xdr:row>4</xdr:row>
      <xdr:rowOff>38479</xdr:rowOff>
    </xdr:from>
    <xdr:to>
      <xdr:col>2</xdr:col>
      <xdr:colOff>892097</xdr:colOff>
      <xdr:row>10</xdr:row>
      <xdr:rowOff>16815</xdr:rowOff>
    </xdr:to>
    <xdr:pic>
      <xdr:nvPicPr>
        <xdr:cNvPr id="10" name="Imagen 9" descr="Conoce BANTRAB - BANTRAB">
          <a:extLst>
            <a:ext uri="{FF2B5EF4-FFF2-40B4-BE49-F238E27FC236}">
              <a16:creationId xmlns:a16="http://schemas.microsoft.com/office/drawing/2014/main" id="{229F14D9-D867-BC07-3C18-C2185DFC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376" y="368369"/>
          <a:ext cx="870319" cy="689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21778</xdr:colOff>
      <xdr:row>4</xdr:row>
      <xdr:rowOff>38479</xdr:rowOff>
    </xdr:from>
    <xdr:to>
      <xdr:col>2</xdr:col>
      <xdr:colOff>892097</xdr:colOff>
      <xdr:row>11</xdr:row>
      <xdr:rowOff>188638</xdr:rowOff>
    </xdr:to>
    <xdr:pic>
      <xdr:nvPicPr>
        <xdr:cNvPr id="2" name="Imagen 1" descr="Conoce BANTRAB - BANTRAB">
          <a:extLst>
            <a:ext uri="{FF2B5EF4-FFF2-40B4-BE49-F238E27FC236}">
              <a16:creationId xmlns:a16="http://schemas.microsoft.com/office/drawing/2014/main" id="{A6D787AB-AFB7-4997-A37B-1CAD7D19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78" y="317879"/>
          <a:ext cx="870319" cy="676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21778</xdr:colOff>
      <xdr:row>4</xdr:row>
      <xdr:rowOff>38479</xdr:rowOff>
    </xdr:from>
    <xdr:to>
      <xdr:col>2</xdr:col>
      <xdr:colOff>892097</xdr:colOff>
      <xdr:row>11</xdr:row>
      <xdr:rowOff>188638</xdr:rowOff>
    </xdr:to>
    <xdr:pic>
      <xdr:nvPicPr>
        <xdr:cNvPr id="2" name="Imagen 1" descr="Conoce BANTRAB - BANTRAB">
          <a:extLst>
            <a:ext uri="{FF2B5EF4-FFF2-40B4-BE49-F238E27FC236}">
              <a16:creationId xmlns:a16="http://schemas.microsoft.com/office/drawing/2014/main" id="{9D497914-60C3-4E9D-997F-B2FE492C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78" y="317879"/>
          <a:ext cx="870319" cy="67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47177</xdr:colOff>
      <xdr:row>4</xdr:row>
      <xdr:rowOff>2</xdr:rowOff>
    </xdr:from>
    <xdr:to>
      <xdr:col>2</xdr:col>
      <xdr:colOff>338846</xdr:colOff>
      <xdr:row>10</xdr:row>
      <xdr:rowOff>186267</xdr:rowOff>
    </xdr:to>
    <xdr:pic>
      <xdr:nvPicPr>
        <xdr:cNvPr id="2" name="Imagen 1" descr="Conoce BANTRAB - BANTRAB">
          <a:extLst>
            <a:ext uri="{FF2B5EF4-FFF2-40B4-BE49-F238E27FC236}">
              <a16:creationId xmlns:a16="http://schemas.microsoft.com/office/drawing/2014/main" id="{54DA5019-ECDF-43AB-B884-3C61DF4E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644" y="283635"/>
          <a:ext cx="376335" cy="296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B72405-DF87-40B2-A4B4-C2B1019DF80C}" name="Monetaria" displayName="Monetaria" ref="L1:L3" totalsRowShown="0" headerRowDxfId="14" dataDxfId="13">
  <autoFilter ref="L1:L3" xr:uid="{CDB72405-DF87-40B2-A4B4-C2B1019DF80C}"/>
  <tableColumns count="1">
    <tableColumn id="1" xr3:uid="{9E0511EB-A430-41BE-A32A-F9ABA7B22BE6}" name="MONETARIA" dataDxfId="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5CA2F7-B543-4892-9B18-73845FA88D45}" name="Ahorro5" displayName="Ahorro5" ref="M1:M8" totalsRowShown="0" headerRowDxfId="5" dataDxfId="4">
  <autoFilter ref="M1:M8" xr:uid="{D3B21AAA-F305-489E-B27D-41C02C2B841B}"/>
  <tableColumns count="1">
    <tableColumn id="1" xr3:uid="{62F55D66-8AEC-4D3E-8BE2-266B98800AEC}" name="AHORRO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468F8A3-2AF5-4DE3-9EB5-7389A16D591B}" name="Ahorro" displayName="Ahorro" ref="M1:M6" totalsRowShown="0" headerRowDxfId="11" dataDxfId="10">
  <autoFilter ref="M1:M6" xr:uid="{D3B21AAA-F305-489E-B27D-41C02C2B841B}"/>
  <tableColumns count="1">
    <tableColumn id="1" xr3:uid="{7CC84B63-32E2-4DFF-9BA9-CE3BB57BC42F}" name="AHORRO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B513682-CC2C-4909-94C3-2EB3A982C728}" name="Dolares" displayName="Dolares" ref="J8:J10" totalsRowShown="0">
  <autoFilter ref="J8:J10" xr:uid="{6B513682-CC2C-4909-94C3-2EB3A982C728}"/>
  <tableColumns count="1">
    <tableColumn id="1" xr3:uid="{5A79A88C-C500-47FD-84FE-8B8B2A854B33}" name="Dolar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DA7DF90-77C9-4499-963C-5FB9203CD396}" name="Personas" displayName="Personas" ref="I8:I11" totalsRowShown="0">
  <autoFilter ref="I8:I11" xr:uid="{5DA7DF90-77C9-4499-963C-5FB9203CD396}"/>
  <tableColumns count="1">
    <tableColumn id="1" xr3:uid="{8B18E96B-22D4-420E-AFCA-93B0C1AEEC45}" name="Persona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76B757-CD2E-4BE2-AC01-5D2E4EED416B}" name="Jubilados" displayName="Jubilados" ref="H8:H9" totalsRowShown="0">
  <autoFilter ref="H8:H9" xr:uid="{0676B757-CD2E-4BE2-AC01-5D2E4EED416B}"/>
  <tableColumns count="1">
    <tableColumn id="1" xr3:uid="{CA650B74-BC71-44A3-9460-15342BD283A3}" name="Jubilado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0FEE853-B8E2-4C55-A011-7802A7FEC3AC}" name="CDP" displayName="CDP" ref="H1:H5" totalsRowShown="0">
  <autoFilter ref="H1:H5" xr:uid="{D55B7EAD-C91A-4682-823D-366ACF2F7DAF}"/>
  <tableColumns count="1">
    <tableColumn id="1" xr3:uid="{11FDBC30-C73F-466D-8C1D-6630ADA4D3EA}" name="CDP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7172191-7EF1-4F8A-812C-FF872CB7FFF0}" name="INSTITUCIONES" displayName="INSTITUCIONES" ref="K8:K12" totalsRowShown="0">
  <autoFilter ref="K8:K12" xr:uid="{07172191-7EF1-4F8A-812C-FF872CB7FFF0}"/>
  <tableColumns count="1">
    <tableColumn id="1" xr3:uid="{994F94E7-13F1-4548-9E12-0BDBAABCD918}" name="INSTITUCIONE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262CB2-AD12-4B80-BBBE-D7B865043CA1}" name="PIACE" displayName="PIACE" ref="L8:L9" totalsRowShown="0">
  <autoFilter ref="L8:L9" xr:uid="{A4262CB2-AD12-4B80-BBBE-D7B865043CA1}"/>
  <tableColumns count="1">
    <tableColumn id="1" xr3:uid="{D99D4088-E8C6-452D-AA01-7C37D2C1A7C0}" name="PIAC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06D625-4644-49E6-858D-43262FEB2153}" name="Monetaria4" displayName="Monetaria4" ref="L1:L3" totalsRowShown="0" headerRowDxfId="8" dataDxfId="7">
  <autoFilter ref="L1:L3" xr:uid="{CDB72405-DF87-40B2-A4B4-C2B1019DF80C}"/>
  <tableColumns count="1">
    <tableColumn id="1" xr3:uid="{1E5D717A-B39C-44AB-80F8-E2AB6F3E9D99}" name="MONETARIA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AE0B-BB53-4610-9FEB-5EDD6749ADA9}">
  <sheetPr codeName="Hoja1"/>
  <dimension ref="B1:O28"/>
  <sheetViews>
    <sheetView topLeftCell="A2" zoomScale="150" zoomScaleNormal="150" workbookViewId="0">
      <selection activeCell="B22" sqref="B22:I22"/>
    </sheetView>
  </sheetViews>
  <sheetFormatPr baseColWidth="10" defaultColWidth="11.453125" defaultRowHeight="15.5" x14ac:dyDescent="0.35"/>
  <cols>
    <col min="1" max="1" width="3.7265625" style="30" customWidth="1"/>
    <col min="2" max="2" width="1.1796875" style="30" customWidth="1"/>
    <col min="3" max="3" width="14.7265625" style="30" customWidth="1"/>
    <col min="4" max="4" width="19.453125" style="30" bestFit="1" customWidth="1"/>
    <col min="5" max="5" width="18.453125" style="30" customWidth="1"/>
    <col min="6" max="6" width="5.7265625" style="30" customWidth="1"/>
    <col min="7" max="8" width="10.26953125" style="30" customWidth="1"/>
    <col min="9" max="9" width="0.81640625" style="30" customWidth="1"/>
    <col min="10" max="10" width="11.453125" style="30"/>
    <col min="11" max="11" width="11.453125" style="30" customWidth="1"/>
    <col min="12" max="12" width="21" style="30" hidden="1" customWidth="1"/>
    <col min="13" max="13" width="24.1796875" style="30" hidden="1" customWidth="1"/>
    <col min="14" max="14" width="11.453125" style="30" customWidth="1"/>
    <col min="15" max="15" width="0" style="30" hidden="1" customWidth="1"/>
    <col min="16" max="16384" width="11.453125" style="30"/>
  </cols>
  <sheetData>
    <row r="1" spans="2:15" ht="7.5" hidden="1" customHeight="1" x14ac:dyDescent="0.35">
      <c r="L1" s="30" t="s">
        <v>29</v>
      </c>
      <c r="M1" s="30" t="s">
        <v>30</v>
      </c>
    </row>
    <row r="2" spans="2:15" ht="3.75" customHeight="1" x14ac:dyDescent="0.35">
      <c r="L2" s="30" t="s">
        <v>19</v>
      </c>
      <c r="M2" s="30" t="s">
        <v>21</v>
      </c>
    </row>
    <row r="3" spans="2:15" ht="16.5" customHeight="1" x14ac:dyDescent="0.35">
      <c r="B3" s="87" t="s">
        <v>32</v>
      </c>
      <c r="C3" s="88"/>
      <c r="D3" s="88"/>
      <c r="E3" s="88"/>
      <c r="F3" s="88"/>
      <c r="G3" s="88"/>
      <c r="H3" s="88"/>
      <c r="I3" s="88"/>
      <c r="J3" s="31"/>
      <c r="L3" s="30" t="s">
        <v>20</v>
      </c>
      <c r="M3" s="30" t="s">
        <v>26</v>
      </c>
    </row>
    <row r="4" spans="2:15" ht="2.25" customHeight="1" x14ac:dyDescent="0.35">
      <c r="M4" s="30" t="s">
        <v>27</v>
      </c>
    </row>
    <row r="5" spans="2:15" ht="4.5" customHeight="1" x14ac:dyDescent="0.35">
      <c r="B5" s="32"/>
      <c r="C5" s="33"/>
      <c r="D5" s="33"/>
      <c r="E5" s="33"/>
      <c r="F5" s="33"/>
      <c r="G5" s="33"/>
      <c r="H5" s="33"/>
      <c r="I5" s="34"/>
      <c r="M5" s="30" t="s">
        <v>28</v>
      </c>
    </row>
    <row r="6" spans="2:15" x14ac:dyDescent="0.35">
      <c r="B6" s="35"/>
      <c r="C6" s="36"/>
      <c r="D6" s="37" t="s">
        <v>14</v>
      </c>
      <c r="E6" s="37"/>
      <c r="F6" s="92" t="s">
        <v>30</v>
      </c>
      <c r="G6" s="92"/>
      <c r="H6" s="92"/>
      <c r="I6" s="38"/>
      <c r="M6" s="30" t="s">
        <v>41</v>
      </c>
    </row>
    <row r="7" spans="2:15" ht="2.25" customHeight="1" x14ac:dyDescent="0.35">
      <c r="B7" s="35"/>
      <c r="C7" s="36"/>
      <c r="D7" s="37"/>
      <c r="E7" s="37"/>
      <c r="F7" s="39"/>
      <c r="G7" s="39"/>
      <c r="H7" s="39"/>
      <c r="I7" s="40"/>
    </row>
    <row r="8" spans="2:15" x14ac:dyDescent="0.35">
      <c r="B8" s="35"/>
      <c r="C8" s="36"/>
      <c r="D8" s="37" t="s">
        <v>31</v>
      </c>
      <c r="E8" s="37"/>
      <c r="F8" s="92" t="s">
        <v>26</v>
      </c>
      <c r="G8" s="92"/>
      <c r="H8" s="92"/>
      <c r="I8" s="40"/>
    </row>
    <row r="9" spans="2:15" ht="2.25" customHeight="1" x14ac:dyDescent="0.35">
      <c r="B9" s="35"/>
      <c r="C9" s="36"/>
      <c r="D9" s="37"/>
      <c r="E9" s="37"/>
      <c r="F9" s="39"/>
      <c r="G9" s="39"/>
      <c r="H9" s="39"/>
      <c r="I9" s="40"/>
    </row>
    <row r="10" spans="2:15" x14ac:dyDescent="0.35">
      <c r="B10" s="35"/>
      <c r="C10" s="36"/>
      <c r="D10" s="37" t="s">
        <v>15</v>
      </c>
      <c r="E10" s="37"/>
      <c r="F10" s="93">
        <v>500</v>
      </c>
      <c r="G10" s="93"/>
      <c r="H10" s="93"/>
      <c r="I10" s="40"/>
    </row>
    <row r="11" spans="2:15" ht="2.25" customHeight="1" x14ac:dyDescent="0.35">
      <c r="B11" s="35"/>
      <c r="C11" s="36"/>
      <c r="D11" s="41"/>
      <c r="E11" s="41"/>
      <c r="F11" s="42">
        <v>99.99</v>
      </c>
      <c r="G11" s="42"/>
      <c r="H11" s="42"/>
      <c r="I11" s="40"/>
    </row>
    <row r="12" spans="2:15" x14ac:dyDescent="0.35">
      <c r="B12" s="35"/>
      <c r="C12" s="43" t="s">
        <v>3</v>
      </c>
      <c r="D12" s="43"/>
      <c r="E12" s="44"/>
      <c r="F12" s="90">
        <f>IF(F8="BT Monetaria Vital",VLOOKUP(F8,Formulas!$A$2:$C$3,3,0),IF(F8="Monetaria Dolares",VLOOKUP(F8,Formulas!$A$2:$C$3,3,0),IF(F8="Ahorro Real",VLOOKUP(F8,Formulas!$A$4:$C$4,3,0),IF(F8="BT Ahorro Trabajador",VLOOKUP(F8,Formulas!$A$4:$C$7,3,0),IF(F8="BT Ahorro Vital",VLOOKUP(F8,Formulas!$A$4:$C$7,3,0),IF(F8="BT Ahorro Dolares",VLOOKUP(F8,Formulas!$A$4:$C$7,3,0),IF(F8="Ahorro Colaborador",VLOOKUP(F8,Formulas!$A$4:$C$8,3,0),IF(F8="Ahorro Empresas",VLOOKUP(F8,Formulas!$A$4:$C$10,3,0),IF(F8="Ahorro Piace",VLOOKUP(F8,Formulas!$A$4:$C$10,3,0),0)))))))))</f>
        <v>2.2499999999999999E-2</v>
      </c>
      <c r="G12" s="90"/>
      <c r="H12" s="90"/>
      <c r="I12" s="40"/>
    </row>
    <row r="13" spans="2:15" ht="1.5" customHeight="1" x14ac:dyDescent="0.35">
      <c r="B13" s="35"/>
      <c r="C13" s="45"/>
      <c r="D13" s="46"/>
      <c r="E13" s="45"/>
      <c r="F13" s="47"/>
      <c r="G13" s="47"/>
      <c r="H13" s="47"/>
      <c r="I13" s="40"/>
      <c r="K13" s="48"/>
    </row>
    <row r="14" spans="2:15" x14ac:dyDescent="0.35">
      <c r="B14" s="35"/>
      <c r="C14" s="89" t="s">
        <v>4</v>
      </c>
      <c r="D14" s="89"/>
      <c r="E14" s="44"/>
      <c r="F14" s="91">
        <f>((F10*F12)/365)*30</f>
        <v>0.92465753424657526</v>
      </c>
      <c r="G14" s="91"/>
      <c r="H14" s="91"/>
      <c r="I14" s="40"/>
    </row>
    <row r="15" spans="2:15" ht="1.5" customHeight="1" x14ac:dyDescent="0.35">
      <c r="B15" s="35"/>
      <c r="C15" s="46"/>
      <c r="D15" s="46"/>
      <c r="E15" s="45"/>
      <c r="F15" s="28"/>
      <c r="G15" s="28"/>
      <c r="H15" s="28"/>
      <c r="I15" s="40"/>
    </row>
    <row r="16" spans="2:15" x14ac:dyDescent="0.35">
      <c r="B16" s="35"/>
      <c r="C16" s="89" t="s">
        <v>5</v>
      </c>
      <c r="D16" s="89"/>
      <c r="E16" s="44"/>
      <c r="F16" s="91">
        <f>F14*0.1</f>
        <v>9.2465753424657529E-2</v>
      </c>
      <c r="G16" s="91"/>
      <c r="H16" s="91"/>
      <c r="I16" s="40"/>
      <c r="O16"/>
    </row>
    <row r="17" spans="2:15" ht="1.5" customHeight="1" x14ac:dyDescent="0.35">
      <c r="B17" s="35"/>
      <c r="C17" s="46"/>
      <c r="D17" s="46"/>
      <c r="E17" s="45"/>
      <c r="F17" s="28"/>
      <c r="G17" s="28"/>
      <c r="H17" s="28"/>
      <c r="I17" s="40"/>
    </row>
    <row r="18" spans="2:15" x14ac:dyDescent="0.35">
      <c r="B18" s="35"/>
      <c r="C18" s="89" t="s">
        <v>6</v>
      </c>
      <c r="D18" s="89"/>
      <c r="E18" s="44"/>
      <c r="F18" s="91">
        <f>F14-F16</f>
        <v>0.83219178082191769</v>
      </c>
      <c r="G18" s="91"/>
      <c r="H18" s="91"/>
      <c r="I18" s="40"/>
    </row>
    <row r="19" spans="2:15" ht="1.5" customHeight="1" x14ac:dyDescent="0.35">
      <c r="B19" s="35"/>
      <c r="C19" s="49"/>
      <c r="D19" s="46"/>
      <c r="E19" s="46"/>
      <c r="F19" s="8"/>
      <c r="G19" s="8"/>
      <c r="H19" s="8"/>
      <c r="I19" s="40"/>
    </row>
    <row r="20" spans="2:15" ht="3.75" customHeight="1" x14ac:dyDescent="0.35">
      <c r="B20" s="50"/>
      <c r="C20" s="51"/>
      <c r="D20" s="51"/>
      <c r="E20" s="51"/>
      <c r="F20" s="52"/>
      <c r="G20" s="52"/>
      <c r="H20" s="52"/>
      <c r="I20" s="53"/>
    </row>
    <row r="21" spans="2:15" ht="3.5" customHeight="1" x14ac:dyDescent="0.35">
      <c r="O21"/>
    </row>
    <row r="22" spans="2:15" ht="11.5" customHeight="1" x14ac:dyDescent="0.35">
      <c r="B22" s="86" t="str">
        <f>IF(F8="BT Monetaria Vital",VLOOKUP(F8,Formulas!A27:B41,2,0),IF(F8="Monetaria Dolares",VLOOKUP(F8,Formulas!$A$27:$B$41,2,0),IF(F8="Ahorro Real",VLOOKUP(F8,Formulas!$A$27:$B$41,2,0),IF(F8="BT Ahorro Trabajador",VLOOKUP(F8,Formulas!$A$27:$C$41,2,0),IF(F8="BT Ahorro Vital",VLOOKUP(F8,Formulas!$A$27:$B$41,2,0),IF(F8="BT Ahorro Dolares",VLOOKUP(F8,Formulas!$A$27:$B$41,2,0),IF(F8="Ahorro Colaborador",VLOOKUP(F8,Formulas!$A$27:$B$41,2,0),IF(F8="Ahorro Empresas",VLOOKUP(F8,Formulas!$A$27:$B$41,2,0),IF(F8="Ahorro Piace",VLOOKUP(F8,Formulas!$A$27:$B$41,2,0),0)))))))))</f>
        <v>Con Q500 puedes empezar a cumplir tus sueños financieros en Bantrab.</v>
      </c>
      <c r="C22" s="86"/>
      <c r="D22" s="86"/>
      <c r="E22" s="86"/>
      <c r="F22" s="86"/>
      <c r="G22" s="86"/>
      <c r="H22" s="86"/>
      <c r="I22" s="86"/>
      <c r="O22"/>
    </row>
    <row r="23" spans="2:15" ht="1.5" customHeight="1" x14ac:dyDescent="0.35">
      <c r="O23"/>
    </row>
    <row r="24" spans="2:15" ht="15.5" customHeight="1" x14ac:dyDescent="0.35">
      <c r="B24" s="85" t="s">
        <v>43</v>
      </c>
      <c r="C24" s="85"/>
      <c r="D24" s="85"/>
      <c r="E24" s="85"/>
      <c r="F24" s="85"/>
      <c r="G24" s="85"/>
      <c r="H24" s="85"/>
      <c r="I24" s="85"/>
    </row>
    <row r="25" spans="2:15" x14ac:dyDescent="0.35">
      <c r="B25" s="85"/>
      <c r="C25" s="85"/>
      <c r="D25" s="85"/>
      <c r="E25" s="85"/>
      <c r="F25" s="85"/>
      <c r="G25" s="85"/>
      <c r="H25" s="85"/>
      <c r="I25" s="85"/>
    </row>
    <row r="28" spans="2:15" x14ac:dyDescent="0.35">
      <c r="H28"/>
    </row>
  </sheetData>
  <sheetProtection algorithmName="SHA-512" hashValue="PhPN3WH0QE0UFzyPDLoDILSZ1Q3La4oHVpMaZ6mLqbDbzwe6FlBvjMlrnrXyn3i4uLAKKEVJy/rblQgLM47FrA==" saltValue="qYoB4h7rBSoODUFjV3nqJQ==" spinCount="100000" sheet="1" objects="1" scenarios="1"/>
  <dataConsolidate/>
  <mergeCells count="13">
    <mergeCell ref="B24:I25"/>
    <mergeCell ref="B22:I22"/>
    <mergeCell ref="B3:I3"/>
    <mergeCell ref="C14:D14"/>
    <mergeCell ref="C16:D16"/>
    <mergeCell ref="C18:D18"/>
    <mergeCell ref="F12:H12"/>
    <mergeCell ref="F14:H14"/>
    <mergeCell ref="F16:H16"/>
    <mergeCell ref="F18:H18"/>
    <mergeCell ref="F6:H6"/>
    <mergeCell ref="F8:H8"/>
    <mergeCell ref="F10:H10"/>
  </mergeCells>
  <dataValidations count="2">
    <dataValidation type="list" showInputMessage="1" showErrorMessage="1" sqref="F8" xr:uid="{26E4F284-5FF8-4DE6-8DB8-BA4BFFE94DFA}">
      <formula1>INDIRECT(F6)</formula1>
    </dataValidation>
    <dataValidation type="list" allowBlank="1" showInputMessage="1" showErrorMessage="1" sqref="F6:H6" xr:uid="{57ECC133-5670-44DF-9CAE-4988D07C6751}">
      <formula1>$L$1:$M$1</formula1>
    </dataValidation>
  </dataValidations>
  <pageMargins left="0.7" right="0.7" top="0.75" bottom="0.75" header="0.3" footer="0.3"/>
  <pageSetup scale="78" orientation="portrait" verticalDpi="0" r:id="rId1"/>
  <headerFooter>
    <oddHeader>&amp;R&amp;"Arial"&amp;10&amp;KBDBDBD DOCUMENTO INTERNO&amp;1#_x000D_</oddHeader>
  </headerFooter>
  <colBreaks count="1" manualBreakCount="1">
    <brk id="11" max="1048575" man="1"/>
  </col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7E77-DB61-4DEA-8D70-117540CE8FEC}">
  <sheetPr codeName="Hoja4"/>
  <dimension ref="A1:L12"/>
  <sheetViews>
    <sheetView workbookViewId="0">
      <selection activeCell="I5" sqref="I5"/>
    </sheetView>
  </sheetViews>
  <sheetFormatPr baseColWidth="10" defaultRowHeight="14.5" x14ac:dyDescent="0.35"/>
  <cols>
    <col min="1" max="1" width="19.453125" bestFit="1" customWidth="1"/>
    <col min="2" max="2" width="19" bestFit="1" customWidth="1"/>
    <col min="8" max="8" width="13.453125" bestFit="1" customWidth="1"/>
    <col min="11" max="11" width="15.54296875" customWidth="1"/>
  </cols>
  <sheetData>
    <row r="1" spans="1:12" x14ac:dyDescent="0.35">
      <c r="A1" t="s">
        <v>0</v>
      </c>
      <c r="B1" t="s">
        <v>7</v>
      </c>
      <c r="H1" t="s">
        <v>7</v>
      </c>
    </row>
    <row r="2" spans="1:12" x14ac:dyDescent="0.35">
      <c r="A2" t="s">
        <v>1</v>
      </c>
      <c r="B2" t="s">
        <v>10</v>
      </c>
      <c r="H2" t="s">
        <v>23</v>
      </c>
    </row>
    <row r="3" spans="1:12" x14ac:dyDescent="0.35">
      <c r="A3" t="s">
        <v>9</v>
      </c>
      <c r="B3">
        <v>730</v>
      </c>
      <c r="H3" t="s">
        <v>24</v>
      </c>
    </row>
    <row r="4" spans="1:12" x14ac:dyDescent="0.35">
      <c r="A4" t="s">
        <v>2</v>
      </c>
      <c r="B4" s="1">
        <v>500000.01</v>
      </c>
      <c r="H4" t="s">
        <v>25</v>
      </c>
    </row>
    <row r="5" spans="1:12" x14ac:dyDescent="0.35">
      <c r="A5" t="s">
        <v>3</v>
      </c>
      <c r="B5" s="2">
        <f>IF(B2="BT Monetaria Vital",VLOOKUP(B2,Formulas!$A$2:$C$3,3,0),IF(B2="Monetaria Dolares",VLOOKUP(B2,Formulas!$A$2:$C$3,3,0),IF(B2="Ahorro Real",VLOOKUP(B2,Formulas!$A$2:$C$7,3,0),0)))</f>
        <v>0</v>
      </c>
      <c r="H5" t="s">
        <v>38</v>
      </c>
    </row>
    <row r="6" spans="1:12" x14ac:dyDescent="0.35">
      <c r="B6" s="2"/>
      <c r="H6" t="s">
        <v>47</v>
      </c>
    </row>
    <row r="7" spans="1:12" x14ac:dyDescent="0.35">
      <c r="A7" t="s">
        <v>4</v>
      </c>
      <c r="B7" s="1">
        <f>((B4*B5)/365)*30</f>
        <v>0</v>
      </c>
    </row>
    <row r="8" spans="1:12" x14ac:dyDescent="0.35">
      <c r="A8" t="s">
        <v>5</v>
      </c>
      <c r="B8" s="1">
        <f>B7*0.1</f>
        <v>0</v>
      </c>
      <c r="H8" t="s">
        <v>10</v>
      </c>
      <c r="I8" t="s">
        <v>11</v>
      </c>
      <c r="J8" t="s">
        <v>12</v>
      </c>
      <c r="K8" t="s">
        <v>38</v>
      </c>
      <c r="L8" t="s">
        <v>47</v>
      </c>
    </row>
    <row r="9" spans="1:12" x14ac:dyDescent="0.35">
      <c r="A9" t="s">
        <v>6</v>
      </c>
      <c r="B9" s="1">
        <f>B7-B8</f>
        <v>0</v>
      </c>
      <c r="H9">
        <v>365</v>
      </c>
      <c r="I9">
        <v>180</v>
      </c>
      <c r="J9">
        <v>180</v>
      </c>
      <c r="K9">
        <v>180</v>
      </c>
      <c r="L9">
        <v>365</v>
      </c>
    </row>
    <row r="10" spans="1:12" x14ac:dyDescent="0.35">
      <c r="I10">
        <v>365</v>
      </c>
      <c r="J10">
        <v>365</v>
      </c>
      <c r="K10">
        <v>365</v>
      </c>
    </row>
    <row r="11" spans="1:12" x14ac:dyDescent="0.35">
      <c r="I11">
        <v>730</v>
      </c>
      <c r="K11">
        <v>540</v>
      </c>
    </row>
    <row r="12" spans="1:12" x14ac:dyDescent="0.35">
      <c r="K12">
        <v>730</v>
      </c>
    </row>
  </sheetData>
  <dataConsolidate/>
  <dataValidations count="3">
    <dataValidation type="list" allowBlank="1" showInputMessage="1" showErrorMessage="1" sqref="B1" xr:uid="{3AD23B9C-A402-4964-9B57-C305F3BC364B}">
      <formula1>$H$1</formula1>
    </dataValidation>
    <dataValidation type="list" allowBlank="1" showInputMessage="1" showErrorMessage="1" sqref="B3" xr:uid="{1C3708BC-3061-4DE4-98D8-2C0F9E2654D6}">
      <formula1>INDIRECT($B$2)</formula1>
    </dataValidation>
    <dataValidation type="list" allowBlank="1" showInputMessage="1" showErrorMessage="1" sqref="B2" xr:uid="{A264EFEC-C702-448F-87BB-99C06BAF758B}">
      <formula1>INDIRECT(B1)</formula1>
    </dataValidation>
  </dataValidations>
  <pageMargins left="0.7" right="0.7" top="0.75" bottom="0.75" header="0.3" footer="0.3"/>
  <pageSetup orientation="portrait" verticalDpi="0" r:id="rId1"/>
  <headerFooter>
    <oddHeader>&amp;R&amp;"Arial"&amp;10&amp;KBDBDBD DOCUMENTO INTERNO&amp;1#_x000D_</oddHeader>
  </headerFooter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894FC-E1A0-4730-956F-C089AF71B462}">
  <dimension ref="B1:K31"/>
  <sheetViews>
    <sheetView showGridLines="0" showRowColHeaders="0" topLeftCell="A2" zoomScale="180" zoomScaleNormal="180" workbookViewId="0">
      <selection activeCell="F8" sqref="F8:H8"/>
    </sheetView>
  </sheetViews>
  <sheetFormatPr baseColWidth="10" defaultColWidth="11.453125" defaultRowHeight="15.5" x14ac:dyDescent="0.35"/>
  <cols>
    <col min="1" max="1" width="3.7265625" style="54" customWidth="1"/>
    <col min="2" max="2" width="1.1796875" style="54" customWidth="1"/>
    <col min="3" max="3" width="14.7265625" style="54" customWidth="1"/>
    <col min="4" max="4" width="19.453125" style="54" bestFit="1" customWidth="1"/>
    <col min="5" max="5" width="18.453125" style="54" customWidth="1"/>
    <col min="6" max="6" width="5.7265625" style="54" customWidth="1"/>
    <col min="7" max="8" width="10.26953125" style="54" customWidth="1"/>
    <col min="9" max="9" width="0.81640625" style="54" customWidth="1"/>
    <col min="10" max="10" width="11.453125" style="54"/>
    <col min="11" max="11" width="11.453125" style="54" customWidth="1"/>
    <col min="12" max="16384" width="11.453125" style="54"/>
  </cols>
  <sheetData>
    <row r="1" spans="2:11" ht="7.5" hidden="1" customHeight="1" x14ac:dyDescent="0.35"/>
    <row r="2" spans="2:11" ht="3.75" customHeight="1" x14ac:dyDescent="0.35"/>
    <row r="3" spans="2:11" ht="16.5" customHeight="1" x14ac:dyDescent="0.35">
      <c r="B3" s="95" t="s">
        <v>34</v>
      </c>
      <c r="C3" s="96"/>
      <c r="D3" s="96"/>
      <c r="E3" s="96"/>
      <c r="F3" s="96"/>
      <c r="G3" s="96"/>
      <c r="H3" s="96"/>
      <c r="I3" s="96"/>
      <c r="J3" s="55"/>
    </row>
    <row r="4" spans="2:11" ht="2.25" customHeight="1" x14ac:dyDescent="0.35"/>
    <row r="5" spans="2:11" ht="4.5" customHeight="1" x14ac:dyDescent="0.35">
      <c r="B5" s="56"/>
      <c r="C5" s="57"/>
      <c r="D5" s="57"/>
      <c r="E5" s="57"/>
      <c r="F5" s="57"/>
      <c r="G5" s="57"/>
      <c r="H5" s="57"/>
      <c r="I5" s="58"/>
    </row>
    <row r="6" spans="2:11" hidden="1" x14ac:dyDescent="0.35">
      <c r="B6" s="59"/>
      <c r="C6" s="60"/>
      <c r="D6" s="61" t="s">
        <v>14</v>
      </c>
      <c r="E6" s="61"/>
      <c r="F6" s="97" t="s">
        <v>7</v>
      </c>
      <c r="G6" s="97"/>
      <c r="H6" s="97"/>
      <c r="I6" s="63"/>
    </row>
    <row r="7" spans="2:11" ht="2.25" customHeight="1" x14ac:dyDescent="0.35">
      <c r="B7" s="59"/>
      <c r="C7" s="60"/>
      <c r="D7" s="61"/>
      <c r="E7" s="61"/>
      <c r="F7" s="62"/>
      <c r="G7" s="62"/>
      <c r="H7" s="62"/>
      <c r="I7" s="64"/>
    </row>
    <row r="8" spans="2:11" x14ac:dyDescent="0.35">
      <c r="B8" s="59"/>
      <c r="C8" s="60"/>
      <c r="D8" s="61" t="s">
        <v>31</v>
      </c>
      <c r="E8" s="61"/>
      <c r="F8" s="98" t="s">
        <v>23</v>
      </c>
      <c r="G8" s="98"/>
      <c r="H8" s="98"/>
      <c r="I8" s="64"/>
    </row>
    <row r="9" spans="2:11" ht="2.25" customHeight="1" x14ac:dyDescent="0.35">
      <c r="B9" s="59"/>
      <c r="C9" s="60"/>
      <c r="D9" s="61"/>
      <c r="E9" s="61"/>
      <c r="F9" s="27"/>
      <c r="G9" s="27"/>
      <c r="H9" s="27"/>
      <c r="I9" s="64"/>
    </row>
    <row r="10" spans="2:11" x14ac:dyDescent="0.35">
      <c r="B10" s="59"/>
      <c r="C10" s="60"/>
      <c r="D10" s="61" t="s">
        <v>33</v>
      </c>
      <c r="E10" s="61"/>
      <c r="F10" s="100">
        <v>365</v>
      </c>
      <c r="G10" s="100"/>
      <c r="H10" s="100"/>
      <c r="I10" s="64"/>
    </row>
    <row r="11" spans="2:11" ht="2" customHeight="1" x14ac:dyDescent="0.35">
      <c r="B11" s="59"/>
      <c r="C11" s="60"/>
      <c r="D11" s="61"/>
      <c r="E11" s="61"/>
      <c r="F11" s="79"/>
      <c r="G11" s="79"/>
      <c r="H11" s="79"/>
      <c r="I11" s="64"/>
    </row>
    <row r="12" spans="2:11" x14ac:dyDescent="0.35">
      <c r="B12" s="59"/>
      <c r="C12" s="60"/>
      <c r="D12" s="61" t="s">
        <v>15</v>
      </c>
      <c r="E12" s="61"/>
      <c r="F12" s="93">
        <v>1000000</v>
      </c>
      <c r="G12" s="93"/>
      <c r="H12" s="93"/>
      <c r="I12" s="64"/>
    </row>
    <row r="13" spans="2:11" ht="2.25" customHeight="1" x14ac:dyDescent="0.35">
      <c r="B13" s="59"/>
      <c r="C13" s="60"/>
      <c r="D13" s="65"/>
      <c r="E13" s="65"/>
      <c r="F13" s="66"/>
      <c r="G13" s="66"/>
      <c r="H13" s="66"/>
      <c r="I13" s="64"/>
    </row>
    <row r="14" spans="2:11" x14ac:dyDescent="0.35">
      <c r="B14" s="59"/>
      <c r="C14" s="67" t="s">
        <v>3</v>
      </c>
      <c r="D14" s="67"/>
      <c r="E14" s="68"/>
      <c r="F14" s="90">
        <f>IF(F8="JUBILADOS",VLOOKUP(F8,Formulas!$A$12:$E$16,4,0),IF(F8="PERSONAS",VLOOKUP(F8,Formulas!$A$12:$D$16,4,0),IF(F8="DOLARES",VLOOKUP(F8,Formulas!$A$12:$D$16,4,0),IF(F8="INSTITUCIONES",VLOOKUP(F8,Formulas!$A$12:$D$16,4,0),IF(F8="PIACE",VLOOKUP(F8,Formulas!$A$12:$D$17,4,0),0)))))</f>
        <v>6.7500000000000004E-2</v>
      </c>
      <c r="G14" s="90"/>
      <c r="H14" s="90"/>
      <c r="I14" s="64"/>
    </row>
    <row r="15" spans="2:11" ht="1.5" customHeight="1" x14ac:dyDescent="0.35">
      <c r="B15" s="59"/>
      <c r="C15" s="69"/>
      <c r="D15" s="70"/>
      <c r="E15" s="69"/>
      <c r="F15" s="71"/>
      <c r="G15" s="71"/>
      <c r="H15" s="71"/>
      <c r="I15" s="64"/>
      <c r="K15" s="72"/>
    </row>
    <row r="16" spans="2:11" x14ac:dyDescent="0.35">
      <c r="B16" s="59"/>
      <c r="C16" s="99" t="s">
        <v>4</v>
      </c>
      <c r="D16" s="99"/>
      <c r="E16" s="68"/>
      <c r="F16" s="91">
        <f>((F12*F14)/365)*30</f>
        <v>5547.9452054794519</v>
      </c>
      <c r="G16" s="91"/>
      <c r="H16" s="91"/>
      <c r="I16" s="64"/>
    </row>
    <row r="17" spans="2:9" ht="1.5" customHeight="1" x14ac:dyDescent="0.35">
      <c r="B17" s="59"/>
      <c r="C17" s="70"/>
      <c r="D17" s="70"/>
      <c r="E17" s="69"/>
      <c r="F17" s="28"/>
      <c r="G17" s="28"/>
      <c r="H17" s="28"/>
      <c r="I17" s="64"/>
    </row>
    <row r="18" spans="2:9" x14ac:dyDescent="0.35">
      <c r="B18" s="59"/>
      <c r="C18" s="99" t="s">
        <v>5</v>
      </c>
      <c r="D18" s="99"/>
      <c r="E18" s="68"/>
      <c r="F18" s="91">
        <f>F16*0.1</f>
        <v>554.79452054794524</v>
      </c>
      <c r="G18" s="91"/>
      <c r="H18" s="91"/>
      <c r="I18" s="64"/>
    </row>
    <row r="19" spans="2:9" ht="1.5" customHeight="1" x14ac:dyDescent="0.35">
      <c r="B19" s="59"/>
      <c r="C19" s="70"/>
      <c r="D19" s="70"/>
      <c r="E19" s="69"/>
      <c r="F19" s="28"/>
      <c r="G19" s="28"/>
      <c r="H19" s="28"/>
      <c r="I19" s="64"/>
    </row>
    <row r="20" spans="2:9" x14ac:dyDescent="0.35">
      <c r="B20" s="59"/>
      <c r="C20" s="99" t="s">
        <v>6</v>
      </c>
      <c r="D20" s="99"/>
      <c r="E20" s="68"/>
      <c r="F20" s="91">
        <f>F16-F18</f>
        <v>4993.1506849315065</v>
      </c>
      <c r="G20" s="91"/>
      <c r="H20" s="91"/>
      <c r="I20" s="64"/>
    </row>
    <row r="21" spans="2:9" ht="1.5" customHeight="1" x14ac:dyDescent="0.35">
      <c r="B21" s="59"/>
      <c r="C21" s="73"/>
      <c r="D21" s="70"/>
      <c r="E21" s="70"/>
      <c r="F21" s="29"/>
      <c r="G21" s="29"/>
      <c r="H21" s="29"/>
      <c r="I21" s="64"/>
    </row>
    <row r="22" spans="2:9" x14ac:dyDescent="0.35">
      <c r="B22" s="59"/>
      <c r="C22" s="99" t="s">
        <v>39</v>
      </c>
      <c r="D22" s="99"/>
      <c r="E22" s="68"/>
      <c r="F22" s="91">
        <f>F20*Formulas!E13</f>
        <v>59917.808219178078</v>
      </c>
      <c r="G22" s="91"/>
      <c r="H22" s="91"/>
      <c r="I22" s="64"/>
    </row>
    <row r="23" spans="2:9" ht="5.5" customHeight="1" x14ac:dyDescent="0.35">
      <c r="B23" s="59"/>
      <c r="C23" s="73"/>
      <c r="D23" s="70"/>
      <c r="E23" s="70"/>
      <c r="F23" s="26"/>
      <c r="G23" s="26"/>
      <c r="H23" s="26"/>
      <c r="I23" s="64"/>
    </row>
    <row r="24" spans="2:9" ht="1.5" customHeight="1" x14ac:dyDescent="0.35">
      <c r="B24" s="74"/>
      <c r="C24" s="75"/>
      <c r="D24" s="75"/>
      <c r="E24" s="75"/>
      <c r="F24" s="76"/>
      <c r="G24" s="76"/>
      <c r="H24" s="76"/>
      <c r="I24" s="77"/>
    </row>
    <row r="25" spans="2:9" ht="5.5" customHeight="1" x14ac:dyDescent="0.35"/>
    <row r="26" spans="2:9" ht="19.5" customHeight="1" x14ac:dyDescent="0.35">
      <c r="B26" s="94" t="str">
        <f>IF(F8="Jubilados",VLOOKUP(F8,Formulas!A27:B41,2,0),IF(F8="Personas",VLOOKUP(F8,Formulas!$A$27:$B$41,2,0),IF(F8="Dolares",VLOOKUP(F8,Formulas!$A$27:$B$41,2,0),IF(F8="Instituciones",VLOOKUP(F8,Formulas!$A$27:$C$41,2,0),IF(F8="Piace",VLOOKUP(F8,Formulas!$A$27:$B$41,2,0),0)))))</f>
        <v>Ofrece la mejor tasa de interés a personas mayores de 60 años por inversiones de 2 años</v>
      </c>
      <c r="C26" s="94"/>
      <c r="D26" s="94"/>
      <c r="E26" s="94"/>
      <c r="F26" s="94"/>
      <c r="G26" s="94"/>
      <c r="H26" s="94"/>
      <c r="I26" s="94"/>
    </row>
    <row r="27" spans="2:9" ht="2" customHeight="1" x14ac:dyDescent="0.35"/>
    <row r="28" spans="2:9" x14ac:dyDescent="0.35">
      <c r="B28" s="94" t="s">
        <v>43</v>
      </c>
      <c r="C28" s="94"/>
      <c r="D28" s="94"/>
      <c r="E28" s="94"/>
      <c r="F28" s="94"/>
      <c r="G28" s="94"/>
      <c r="H28" s="94"/>
      <c r="I28" s="94"/>
    </row>
    <row r="29" spans="2:9" x14ac:dyDescent="0.35">
      <c r="B29" s="94"/>
      <c r="C29" s="94"/>
      <c r="D29" s="94"/>
      <c r="E29" s="94"/>
      <c r="F29" s="94"/>
      <c r="G29" s="94"/>
      <c r="H29" s="94"/>
      <c r="I29" s="94"/>
    </row>
    <row r="31" spans="2:9" x14ac:dyDescent="0.35">
      <c r="H31" s="78"/>
    </row>
  </sheetData>
  <sheetProtection algorithmName="SHA-512" hashValue="GC/igodahCIhVlUFHm/+E7CyGlHaafCdXBSh8x/yTUvBPHEjPg4YeJ/mbqxX6IJ2939V04pbwm4VnYj0f9E8/w==" saltValue="bwShC0flMyLFZcAGt1+9hA==" spinCount="100000" sheet="1" objects="1" scenarios="1"/>
  <dataConsolidate/>
  <mergeCells count="16">
    <mergeCell ref="B28:I29"/>
    <mergeCell ref="B3:I3"/>
    <mergeCell ref="F6:H6"/>
    <mergeCell ref="F8:H8"/>
    <mergeCell ref="F12:H12"/>
    <mergeCell ref="C22:D22"/>
    <mergeCell ref="F22:H22"/>
    <mergeCell ref="C18:D18"/>
    <mergeCell ref="F18:H18"/>
    <mergeCell ref="C20:D20"/>
    <mergeCell ref="F20:H20"/>
    <mergeCell ref="F14:H14"/>
    <mergeCell ref="C16:D16"/>
    <mergeCell ref="F16:H16"/>
    <mergeCell ref="B26:I26"/>
    <mergeCell ref="F10:H10"/>
  </mergeCells>
  <dataValidations count="3">
    <dataValidation type="list" allowBlank="1" showInputMessage="1" showErrorMessage="1" sqref="F10:H10" xr:uid="{4EB1DA18-1027-4A6F-8A95-48B6DB0907DC}">
      <formula1>INDIRECT($F$8)</formula1>
    </dataValidation>
    <dataValidation type="list" allowBlank="1" showInputMessage="1" showErrorMessage="1" sqref="F8:H8" xr:uid="{EAC3C463-D644-4AF8-AA25-90D6E0F93CE9}">
      <formula1>INDIRECT($F$6)</formula1>
    </dataValidation>
    <dataValidation type="list" allowBlank="1" showInputMessage="1" showErrorMessage="1" sqref="F6:H6" xr:uid="{6F62BCFF-00A8-4C07-8E51-FDE3F52B6124}">
      <formula1>#REF!</formula1>
    </dataValidation>
  </dataValidations>
  <pageMargins left="0.7" right="0.7" top="0.75" bottom="0.75" header="0.3" footer="0.3"/>
  <pageSetup scale="78" orientation="portrait" verticalDpi="0" r:id="rId1"/>
  <headerFooter>
    <oddHeader>&amp;R&amp;"Arial"&amp;10&amp;KBDBDBD DOCUMENTO INTERNO&amp;1#_x000D_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2829-3DB2-48CC-A01C-4EB87D070559}">
  <dimension ref="B1:K90"/>
  <sheetViews>
    <sheetView showGridLines="0" topLeftCell="A2" zoomScale="180" zoomScaleNormal="180" workbookViewId="0">
      <selection activeCell="F21" sqref="F21:H21"/>
    </sheetView>
  </sheetViews>
  <sheetFormatPr baseColWidth="10" defaultColWidth="11.453125" defaultRowHeight="15.5" x14ac:dyDescent="0.35"/>
  <cols>
    <col min="1" max="1" width="1.7265625" style="54" customWidth="1"/>
    <col min="2" max="2" width="1.1796875" style="54" customWidth="1"/>
    <col min="3" max="3" width="14.7265625" style="54" customWidth="1"/>
    <col min="4" max="4" width="15.453125" style="54" customWidth="1"/>
    <col min="5" max="5" width="11.1796875" style="54" customWidth="1"/>
    <col min="6" max="6" width="13.81640625" style="54" customWidth="1"/>
    <col min="7" max="7" width="13.08984375" style="54" customWidth="1"/>
    <col min="8" max="8" width="13.6328125" style="54" customWidth="1"/>
    <col min="9" max="9" width="0.6328125" style="54" customWidth="1"/>
    <col min="10" max="10" width="11.453125" style="54"/>
    <col min="11" max="11" width="11.453125" style="54" customWidth="1"/>
    <col min="12" max="16384" width="11.453125" style="54"/>
  </cols>
  <sheetData>
    <row r="1" spans="2:11" ht="7.5" hidden="1" customHeight="1" x14ac:dyDescent="0.35"/>
    <row r="2" spans="2:11" ht="3.75" customHeight="1" x14ac:dyDescent="0.35"/>
    <row r="3" spans="2:11" ht="16.5" customHeight="1" x14ac:dyDescent="0.35">
      <c r="B3" s="95" t="s">
        <v>72</v>
      </c>
      <c r="C3" s="96"/>
      <c r="D3" s="96"/>
      <c r="E3" s="96"/>
      <c r="F3" s="96"/>
      <c r="G3" s="96"/>
      <c r="H3" s="96"/>
      <c r="I3" s="96"/>
      <c r="J3" s="55"/>
    </row>
    <row r="4" spans="2:11" ht="2.25" customHeight="1" x14ac:dyDescent="0.35"/>
    <row r="5" spans="2:11" ht="4.5" customHeight="1" x14ac:dyDescent="0.35">
      <c r="B5" s="56"/>
      <c r="C5" s="57"/>
      <c r="D5" s="57"/>
      <c r="E5" s="57"/>
      <c r="F5" s="57"/>
      <c r="G5" s="57"/>
      <c r="H5" s="57"/>
      <c r="I5" s="58"/>
    </row>
    <row r="6" spans="2:11" hidden="1" x14ac:dyDescent="0.35">
      <c r="B6" s="59"/>
      <c r="C6" s="60"/>
      <c r="D6" s="61" t="s">
        <v>14</v>
      </c>
      <c r="E6" s="61"/>
      <c r="F6" s="97" t="s">
        <v>7</v>
      </c>
      <c r="G6" s="97"/>
      <c r="H6" s="97"/>
      <c r="I6" s="63"/>
    </row>
    <row r="7" spans="2:11" ht="2.25" customHeight="1" x14ac:dyDescent="0.35">
      <c r="B7" s="59"/>
      <c r="C7" s="60"/>
      <c r="D7" s="61"/>
      <c r="E7" s="61"/>
      <c r="F7" s="62"/>
      <c r="G7" s="62"/>
      <c r="H7" s="62"/>
      <c r="I7" s="64"/>
    </row>
    <row r="8" spans="2:11" x14ac:dyDescent="0.35">
      <c r="B8" s="59"/>
      <c r="C8" s="60"/>
      <c r="D8" s="61" t="s">
        <v>61</v>
      </c>
      <c r="E8" s="61"/>
      <c r="F8" s="100">
        <v>60</v>
      </c>
      <c r="G8" s="100"/>
      <c r="H8" s="100"/>
      <c r="I8" s="64"/>
    </row>
    <row r="9" spans="2:11" ht="2.25" customHeight="1" x14ac:dyDescent="0.35">
      <c r="B9" s="59"/>
      <c r="C9" s="60"/>
      <c r="D9" s="61"/>
      <c r="E9" s="61"/>
      <c r="F9" s="62"/>
      <c r="G9" s="62"/>
      <c r="H9" s="62"/>
      <c r="I9" s="64"/>
    </row>
    <row r="10" spans="2:11" x14ac:dyDescent="0.35">
      <c r="B10" s="59"/>
      <c r="C10" s="60"/>
      <c r="D10" s="61" t="s">
        <v>63</v>
      </c>
      <c r="E10" s="61"/>
      <c r="F10" s="93">
        <v>100</v>
      </c>
      <c r="G10" s="93"/>
      <c r="H10" s="93"/>
      <c r="I10" s="64"/>
    </row>
    <row r="11" spans="2:11" ht="2" customHeight="1" x14ac:dyDescent="0.35">
      <c r="B11" s="59"/>
      <c r="C11" s="60"/>
      <c r="D11" s="61"/>
      <c r="E11" s="61"/>
      <c r="F11" s="61"/>
      <c r="G11" s="61"/>
      <c r="H11" s="61"/>
      <c r="I11" s="64"/>
    </row>
    <row r="12" spans="2:11" x14ac:dyDescent="0.35">
      <c r="B12" s="59"/>
      <c r="C12" s="60"/>
      <c r="D12" s="61" t="s">
        <v>73</v>
      </c>
      <c r="E12" s="61"/>
      <c r="F12" s="93">
        <v>50</v>
      </c>
      <c r="G12" s="93"/>
      <c r="H12" s="93"/>
      <c r="I12" s="64"/>
    </row>
    <row r="13" spans="2:11" ht="2.25" customHeight="1" x14ac:dyDescent="0.35">
      <c r="B13" s="59"/>
      <c r="C13" s="60"/>
      <c r="D13" s="65"/>
      <c r="E13" s="65"/>
      <c r="F13" s="66"/>
      <c r="G13" s="66"/>
      <c r="H13" s="66"/>
      <c r="I13" s="64"/>
    </row>
    <row r="14" spans="2:11" x14ac:dyDescent="0.35">
      <c r="B14" s="59"/>
      <c r="C14" s="67" t="s">
        <v>3</v>
      </c>
      <c r="D14" s="67"/>
      <c r="E14" s="68"/>
      <c r="F14" s="90">
        <f>IF(AND(F10&gt;=50,F10&lt;=100000),VLOOKUP(F8,Formulas!$O$2:$P$8,2,0),0%)</f>
        <v>5.5E-2</v>
      </c>
      <c r="G14" s="90"/>
      <c r="H14" s="90"/>
      <c r="I14" s="64"/>
    </row>
    <row r="15" spans="2:11" ht="1.5" customHeight="1" x14ac:dyDescent="0.35">
      <c r="B15" s="59"/>
      <c r="C15" s="69"/>
      <c r="D15" s="70"/>
      <c r="E15" s="69"/>
      <c r="F15" s="71"/>
      <c r="G15" s="71"/>
      <c r="H15" s="71"/>
      <c r="I15" s="64"/>
      <c r="K15" s="72"/>
    </row>
    <row r="16" spans="2:11" ht="1.5" customHeight="1" x14ac:dyDescent="0.35">
      <c r="B16" s="59"/>
      <c r="C16" s="70"/>
      <c r="D16" s="70"/>
      <c r="E16" s="69"/>
      <c r="F16" s="28"/>
      <c r="G16" s="28"/>
      <c r="H16" s="28"/>
      <c r="I16" s="64"/>
    </row>
    <row r="17" spans="2:9" x14ac:dyDescent="0.35">
      <c r="B17" s="59"/>
      <c r="C17" s="99" t="s">
        <v>68</v>
      </c>
      <c r="D17" s="99"/>
      <c r="E17" s="68"/>
      <c r="F17" s="91">
        <f>IF(F8=6,SUM(F31:F36),IF(F8=12,SUM(F31:F42),IF(F8=24,SUM(F31:F54),IF(F8=36,SUM(F31:F66),IF(F8=48,SUM(F31:F78),IF(F8=60,SUM(F31:F90),0))))))</f>
        <v>912.87064957620544</v>
      </c>
      <c r="G17" s="91"/>
      <c r="H17" s="91"/>
      <c r="I17" s="64"/>
    </row>
    <row r="18" spans="2:9" ht="1.5" customHeight="1" x14ac:dyDescent="0.35">
      <c r="B18" s="59"/>
      <c r="C18" s="70"/>
      <c r="D18" s="70"/>
      <c r="E18" s="69"/>
      <c r="F18" s="28"/>
      <c r="G18" s="28"/>
      <c r="H18" s="28"/>
      <c r="I18" s="64"/>
    </row>
    <row r="19" spans="2:9" x14ac:dyDescent="0.35">
      <c r="B19" s="59"/>
      <c r="C19" s="99" t="s">
        <v>69</v>
      </c>
      <c r="D19" s="99"/>
      <c r="E19" s="68"/>
      <c r="F19" s="91">
        <f>IF(F8=6,SUM(G32:G37),IF(F8=12,SUM(G31:G42),IF(F8=24,SUM(G31:G54),IF(F8=36,SUM(G31:G66),IF(F8=48,SUM(G31:G78),IF(F8=60,SUM(G31:G90),0))))))</f>
        <v>821.58358461858495</v>
      </c>
      <c r="G19" s="91"/>
      <c r="H19" s="91"/>
      <c r="I19" s="64"/>
    </row>
    <row r="20" spans="2:9" ht="1.5" customHeight="1" x14ac:dyDescent="0.35">
      <c r="B20" s="59"/>
      <c r="C20" s="73"/>
      <c r="D20" s="70"/>
      <c r="E20" s="70"/>
      <c r="F20" s="29"/>
      <c r="G20" s="29"/>
      <c r="H20" s="29"/>
      <c r="I20" s="64"/>
    </row>
    <row r="21" spans="2:9" x14ac:dyDescent="0.35">
      <c r="B21" s="59"/>
      <c r="C21" s="99" t="s">
        <v>70</v>
      </c>
      <c r="D21" s="99"/>
      <c r="E21" s="68"/>
      <c r="F21" s="91">
        <f>IF(F8=6,VLOOKUP(F8,$C$30:$H$90,6,0),IF(F8=12,VLOOKUP(F8,$C$30:$H$90,6,0),IF(F8=24,VLOOKUP(F8,$C$30:$H$90,6,0),IF(F8=36,VLOOKUP(F8,$C$30:$H$90,6,0),IF(F8=48,VLOOKUP(F8,$C$30:$H$90,6,0),IF(F8=60,VLOOKUP(F8,$C$30:$H$90,6,0),0))))))</f>
        <v>6871.5835846185846</v>
      </c>
      <c r="G21" s="91"/>
      <c r="H21" s="91"/>
      <c r="I21" s="64"/>
    </row>
    <row r="22" spans="2:9" ht="5.5" customHeight="1" x14ac:dyDescent="0.35">
      <c r="B22" s="59"/>
      <c r="C22" s="73"/>
      <c r="D22" s="70"/>
      <c r="E22" s="70"/>
      <c r="F22" s="26"/>
      <c r="G22" s="26"/>
      <c r="H22" s="26"/>
      <c r="I22" s="64"/>
    </row>
    <row r="23" spans="2:9" ht="1.5" customHeight="1" x14ac:dyDescent="0.35">
      <c r="B23" s="74"/>
      <c r="C23" s="75"/>
      <c r="D23" s="75"/>
      <c r="E23" s="75"/>
      <c r="F23" s="76"/>
      <c r="G23" s="76"/>
      <c r="H23" s="76"/>
      <c r="I23" s="77"/>
    </row>
    <row r="24" spans="2:9" ht="2" customHeight="1" x14ac:dyDescent="0.35"/>
    <row r="25" spans="2:9" ht="20" customHeight="1" x14ac:dyDescent="0.35">
      <c r="B25" s="94" t="s">
        <v>75</v>
      </c>
      <c r="C25" s="94"/>
      <c r="D25" s="94"/>
      <c r="E25" s="94"/>
      <c r="F25" s="94"/>
      <c r="G25" s="94"/>
      <c r="H25" s="94"/>
      <c r="I25" s="94"/>
    </row>
    <row r="26" spans="2:9" ht="2" customHeight="1" x14ac:dyDescent="0.35"/>
    <row r="27" spans="2:9" x14ac:dyDescent="0.35">
      <c r="B27" s="85" t="s">
        <v>43</v>
      </c>
      <c r="C27" s="85"/>
      <c r="D27" s="85"/>
      <c r="E27" s="85"/>
      <c r="F27" s="85"/>
      <c r="G27" s="85"/>
      <c r="H27" s="85"/>
      <c r="I27" s="85"/>
    </row>
    <row r="28" spans="2:9" x14ac:dyDescent="0.35">
      <c r="B28" s="85"/>
      <c r="C28" s="85"/>
      <c r="D28" s="85"/>
      <c r="E28" s="85"/>
      <c r="F28" s="85"/>
      <c r="G28" s="85"/>
      <c r="H28" s="85"/>
      <c r="I28" s="85"/>
    </row>
    <row r="29" spans="2:9" ht="3.5" customHeight="1" x14ac:dyDescent="0.35"/>
    <row r="30" spans="2:9" x14ac:dyDescent="0.35">
      <c r="C30" s="82" t="s">
        <v>71</v>
      </c>
      <c r="D30" s="82" t="s">
        <v>64</v>
      </c>
      <c r="E30" s="82" t="s">
        <v>18</v>
      </c>
      <c r="F30" s="82" t="s">
        <v>67</v>
      </c>
      <c r="G30" s="82" t="s">
        <v>65</v>
      </c>
      <c r="H30" s="82" t="s">
        <v>66</v>
      </c>
    </row>
    <row r="31" spans="2:9" x14ac:dyDescent="0.35">
      <c r="C31" s="83">
        <v>1</v>
      </c>
      <c r="D31" s="81">
        <f>F10+F12</f>
        <v>150</v>
      </c>
      <c r="E31" s="80">
        <f>'Ahorro Progresivo'!$F$14</f>
        <v>5.5E-2</v>
      </c>
      <c r="F31" s="81">
        <f>((D31*E31)/365)*30</f>
        <v>0.67808219178082196</v>
      </c>
      <c r="G31" s="81">
        <f t="shared" ref="G31:G62" si="0">F31-(F31*10%)</f>
        <v>0.61027397260273974</v>
      </c>
      <c r="H31" s="81">
        <f>D31+G31</f>
        <v>150.61027397260273</v>
      </c>
      <c r="I31" s="84"/>
    </row>
    <row r="32" spans="2:9" x14ac:dyDescent="0.35">
      <c r="C32" s="83">
        <v>2</v>
      </c>
      <c r="D32" s="81">
        <f t="shared" ref="D32:D90" si="1">$F$10</f>
        <v>100</v>
      </c>
      <c r="E32" s="80">
        <f>'Ahorro Progresivo'!$F$14</f>
        <v>5.5E-2</v>
      </c>
      <c r="F32" s="81">
        <f t="shared" ref="F32:F63" si="2">(((H31+D32)*E32)/365)*30</f>
        <v>1.1328957590542315</v>
      </c>
      <c r="G32" s="81">
        <f t="shared" si="0"/>
        <v>1.0196061831488084</v>
      </c>
      <c r="H32" s="81">
        <f t="shared" ref="H32:H63" si="3">H31+D32+G32</f>
        <v>251.62988015575152</v>
      </c>
    </row>
    <row r="33" spans="3:8" x14ac:dyDescent="0.35">
      <c r="C33" s="83">
        <v>3</v>
      </c>
      <c r="D33" s="81">
        <f t="shared" si="1"/>
        <v>100</v>
      </c>
      <c r="E33" s="80">
        <f>'Ahorro Progresivo'!$F$14</f>
        <v>5.5E-2</v>
      </c>
      <c r="F33" s="81">
        <f t="shared" si="2"/>
        <v>1.5895597322109314</v>
      </c>
      <c r="G33" s="81">
        <f t="shared" si="0"/>
        <v>1.4306037589898382</v>
      </c>
      <c r="H33" s="81">
        <f t="shared" si="3"/>
        <v>353.06048391474133</v>
      </c>
    </row>
    <row r="34" spans="3:8" x14ac:dyDescent="0.35">
      <c r="C34" s="83">
        <v>4</v>
      </c>
      <c r="D34" s="81">
        <f t="shared" si="1"/>
        <v>100</v>
      </c>
      <c r="E34" s="80">
        <f>'Ahorro Progresivo'!$F$14</f>
        <v>5.5E-2</v>
      </c>
      <c r="F34" s="81">
        <f t="shared" si="2"/>
        <v>2.0480816396145842</v>
      </c>
      <c r="G34" s="81">
        <f t="shared" si="0"/>
        <v>1.8432734756531257</v>
      </c>
      <c r="H34" s="81">
        <f t="shared" si="3"/>
        <v>454.90375739039445</v>
      </c>
    </row>
    <row r="35" spans="3:8" x14ac:dyDescent="0.35">
      <c r="C35" s="83">
        <v>5</v>
      </c>
      <c r="D35" s="81">
        <f t="shared" si="1"/>
        <v>100</v>
      </c>
      <c r="E35" s="80">
        <f>'Ahorro Progresivo'!$F$14</f>
        <v>5.5E-2</v>
      </c>
      <c r="F35" s="81">
        <f t="shared" si="2"/>
        <v>2.5084690402579475</v>
      </c>
      <c r="G35" s="81">
        <f t="shared" si="0"/>
        <v>2.2576221362321527</v>
      </c>
      <c r="H35" s="81">
        <f t="shared" si="3"/>
        <v>557.16137952662666</v>
      </c>
    </row>
    <row r="36" spans="3:8" x14ac:dyDescent="0.35">
      <c r="C36" s="83">
        <v>6</v>
      </c>
      <c r="D36" s="81">
        <f t="shared" si="1"/>
        <v>100</v>
      </c>
      <c r="E36" s="80">
        <f>'Ahorro Progresivo'!$F$14</f>
        <v>5.5E-2</v>
      </c>
      <c r="F36" s="81">
        <f t="shared" si="2"/>
        <v>2.9707295238874902</v>
      </c>
      <c r="G36" s="81">
        <f t="shared" si="0"/>
        <v>2.673656571498741</v>
      </c>
      <c r="H36" s="81">
        <f t="shared" si="3"/>
        <v>659.83503609812544</v>
      </c>
    </row>
    <row r="37" spans="3:8" x14ac:dyDescent="0.35">
      <c r="C37" s="83">
        <v>7</v>
      </c>
      <c r="D37" s="81">
        <f t="shared" si="1"/>
        <v>100</v>
      </c>
      <c r="E37" s="80">
        <f>'Ahorro Progresivo'!$F$14</f>
        <v>5.5E-2</v>
      </c>
      <c r="F37" s="81">
        <f t="shared" si="2"/>
        <v>3.4348707111285122</v>
      </c>
      <c r="G37" s="81">
        <f t="shared" si="0"/>
        <v>3.0913836400156609</v>
      </c>
      <c r="H37" s="81">
        <f t="shared" si="3"/>
        <v>762.92641973814113</v>
      </c>
    </row>
    <row r="38" spans="3:8" x14ac:dyDescent="0.35">
      <c r="C38" s="83">
        <v>8</v>
      </c>
      <c r="D38" s="81">
        <f t="shared" si="1"/>
        <v>100</v>
      </c>
      <c r="E38" s="80">
        <f>'Ahorro Progresivo'!$F$14</f>
        <v>5.5E-2</v>
      </c>
      <c r="F38" s="81">
        <f t="shared" si="2"/>
        <v>3.9009002536107751</v>
      </c>
      <c r="G38" s="81">
        <f t="shared" si="0"/>
        <v>3.5108102282496976</v>
      </c>
      <c r="H38" s="81">
        <f t="shared" si="3"/>
        <v>866.43722996639087</v>
      </c>
    </row>
    <row r="39" spans="3:8" x14ac:dyDescent="0.35">
      <c r="C39" s="83">
        <v>9</v>
      </c>
      <c r="D39" s="81">
        <f t="shared" si="1"/>
        <v>100</v>
      </c>
      <c r="E39" s="80">
        <f>'Ahorro Progresivo'!$F$14</f>
        <v>5.5E-2</v>
      </c>
      <c r="F39" s="81">
        <f t="shared" si="2"/>
        <v>4.3688258340946442</v>
      </c>
      <c r="G39" s="81">
        <f t="shared" si="0"/>
        <v>3.9319432506851797</v>
      </c>
      <c r="H39" s="81">
        <f t="shared" si="3"/>
        <v>970.36917321707608</v>
      </c>
    </row>
    <row r="40" spans="3:8" x14ac:dyDescent="0.35">
      <c r="C40" s="83">
        <v>10</v>
      </c>
      <c r="D40" s="81">
        <f t="shared" si="1"/>
        <v>100</v>
      </c>
      <c r="E40" s="80">
        <f>'Ahorro Progresivo'!$F$14</f>
        <v>5.5E-2</v>
      </c>
      <c r="F40" s="81">
        <f t="shared" si="2"/>
        <v>4.8386551665977411</v>
      </c>
      <c r="G40" s="81">
        <f t="shared" si="0"/>
        <v>4.3547896499379668</v>
      </c>
      <c r="H40" s="81">
        <f t="shared" si="3"/>
        <v>1074.7239628670138</v>
      </c>
    </row>
    <row r="41" spans="3:8" x14ac:dyDescent="0.35">
      <c r="C41" s="83">
        <v>11</v>
      </c>
      <c r="D41" s="81">
        <f t="shared" si="1"/>
        <v>100</v>
      </c>
      <c r="E41" s="80">
        <f>'Ahorro Progresivo'!$F$14</f>
        <v>5.5E-2</v>
      </c>
      <c r="F41" s="81">
        <f t="shared" si="2"/>
        <v>5.310395996522117</v>
      </c>
      <c r="G41" s="81">
        <f t="shared" si="0"/>
        <v>4.7793563968699058</v>
      </c>
      <c r="H41" s="81">
        <f t="shared" si="3"/>
        <v>1179.5033192638837</v>
      </c>
    </row>
    <row r="42" spans="3:8" x14ac:dyDescent="0.35">
      <c r="C42" s="83">
        <v>12</v>
      </c>
      <c r="D42" s="81">
        <f t="shared" si="1"/>
        <v>100</v>
      </c>
      <c r="E42" s="80">
        <f>'Ahorro Progresivo'!$F$14</f>
        <v>5.5E-2</v>
      </c>
      <c r="F42" s="81">
        <f t="shared" si="2"/>
        <v>5.7840561007819398</v>
      </c>
      <c r="G42" s="81">
        <f t="shared" si="0"/>
        <v>5.2056504907037455</v>
      </c>
      <c r="H42" s="81">
        <f t="shared" si="3"/>
        <v>1284.7089697545873</v>
      </c>
    </row>
    <row r="43" spans="3:8" x14ac:dyDescent="0.35">
      <c r="C43" s="83">
        <v>13</v>
      </c>
      <c r="D43" s="81">
        <f t="shared" si="1"/>
        <v>100</v>
      </c>
      <c r="E43" s="80">
        <f>'Ahorro Progresivo'!$F$14</f>
        <v>5.5E-2</v>
      </c>
      <c r="F43" s="81">
        <f t="shared" si="2"/>
        <v>6.2596432879316968</v>
      </c>
      <c r="G43" s="81">
        <f t="shared" si="0"/>
        <v>5.6336789591385266</v>
      </c>
      <c r="H43" s="81">
        <f t="shared" si="3"/>
        <v>1390.3426487137258</v>
      </c>
    </row>
    <row r="44" spans="3:8" x14ac:dyDescent="0.35">
      <c r="C44" s="83">
        <v>14</v>
      </c>
      <c r="D44" s="81">
        <f t="shared" si="1"/>
        <v>100</v>
      </c>
      <c r="E44" s="80">
        <f>'Ahorro Progresivo'!$F$14</f>
        <v>5.5E-2</v>
      </c>
      <c r="F44" s="81">
        <f t="shared" si="2"/>
        <v>6.7371653982949251</v>
      </c>
      <c r="G44" s="81">
        <f t="shared" si="0"/>
        <v>6.0634488584654322</v>
      </c>
      <c r="H44" s="81">
        <f t="shared" si="3"/>
        <v>1496.4060975721911</v>
      </c>
    </row>
    <row r="45" spans="3:8" x14ac:dyDescent="0.35">
      <c r="C45" s="83">
        <v>15</v>
      </c>
      <c r="D45" s="81">
        <f t="shared" si="1"/>
        <v>100</v>
      </c>
      <c r="E45" s="80">
        <f>'Ahorro Progresivo'!$F$14</f>
        <v>5.5E-2</v>
      </c>
      <c r="F45" s="81">
        <f t="shared" si="2"/>
        <v>7.2166303040934672</v>
      </c>
      <c r="G45" s="81">
        <f t="shared" si="0"/>
        <v>6.4949672736841206</v>
      </c>
      <c r="H45" s="81">
        <f t="shared" si="3"/>
        <v>1602.9010648458752</v>
      </c>
    </row>
    <row r="46" spans="3:8" x14ac:dyDescent="0.35">
      <c r="C46" s="83">
        <v>16</v>
      </c>
      <c r="D46" s="81">
        <f t="shared" si="1"/>
        <v>100</v>
      </c>
      <c r="E46" s="80">
        <f>'Ahorro Progresivo'!$F$14</f>
        <v>5.5E-2</v>
      </c>
      <c r="F46" s="81">
        <f t="shared" si="2"/>
        <v>7.6980459095772433</v>
      </c>
      <c r="G46" s="81">
        <f t="shared" si="0"/>
        <v>6.9282413186195191</v>
      </c>
      <c r="H46" s="81">
        <f t="shared" si="3"/>
        <v>1709.8293061644947</v>
      </c>
    </row>
    <row r="47" spans="3:8" x14ac:dyDescent="0.35">
      <c r="C47" s="83">
        <v>17</v>
      </c>
      <c r="D47" s="81">
        <f t="shared" si="1"/>
        <v>100</v>
      </c>
      <c r="E47" s="80">
        <f>'Ahorro Progresivo'!$F$14</f>
        <v>5.5E-2</v>
      </c>
      <c r="F47" s="81">
        <f t="shared" si="2"/>
        <v>8.1814201511545654</v>
      </c>
      <c r="G47" s="81">
        <f t="shared" si="0"/>
        <v>7.3632781360391091</v>
      </c>
      <c r="H47" s="81">
        <f t="shared" si="3"/>
        <v>1817.1925843005338</v>
      </c>
    </row>
    <row r="48" spans="3:8" x14ac:dyDescent="0.35">
      <c r="C48" s="83">
        <v>18</v>
      </c>
      <c r="D48" s="81">
        <f t="shared" si="1"/>
        <v>100</v>
      </c>
      <c r="E48" s="80">
        <f>'Ahorro Progresivo'!$F$14</f>
        <v>5.5E-2</v>
      </c>
      <c r="F48" s="81">
        <f t="shared" si="2"/>
        <v>8.6667609975229603</v>
      </c>
      <c r="G48" s="81">
        <f t="shared" si="0"/>
        <v>7.800084897770664</v>
      </c>
      <c r="H48" s="81">
        <f t="shared" si="3"/>
        <v>1924.9926691983044</v>
      </c>
    </row>
    <row r="49" spans="3:8" x14ac:dyDescent="0.35">
      <c r="C49" s="83">
        <v>19</v>
      </c>
      <c r="D49" s="81">
        <f t="shared" si="1"/>
        <v>100</v>
      </c>
      <c r="E49" s="80">
        <f>'Ahorro Progresivo'!$F$14</f>
        <v>5.5E-2</v>
      </c>
      <c r="F49" s="81">
        <f t="shared" si="2"/>
        <v>9.154076449800554</v>
      </c>
      <c r="G49" s="81">
        <f t="shared" si="0"/>
        <v>8.2386688048204988</v>
      </c>
      <c r="H49" s="81">
        <f t="shared" si="3"/>
        <v>2033.2313380031248</v>
      </c>
    </row>
    <row r="50" spans="3:8" x14ac:dyDescent="0.35">
      <c r="C50" s="83">
        <v>20</v>
      </c>
      <c r="D50" s="81">
        <f t="shared" si="1"/>
        <v>100</v>
      </c>
      <c r="E50" s="80">
        <f>'Ahorro Progresivo'!$F$14</f>
        <v>5.5E-2</v>
      </c>
      <c r="F50" s="81">
        <f t="shared" si="2"/>
        <v>9.6433745416579608</v>
      </c>
      <c r="G50" s="81">
        <f t="shared" si="0"/>
        <v>8.6790370874921656</v>
      </c>
      <c r="H50" s="81">
        <f t="shared" si="3"/>
        <v>2141.910375090617</v>
      </c>
    </row>
    <row r="51" spans="3:8" x14ac:dyDescent="0.35">
      <c r="C51" s="83">
        <v>21</v>
      </c>
      <c r="D51" s="81">
        <f t="shared" si="1"/>
        <v>100</v>
      </c>
      <c r="E51" s="80">
        <f>'Ahorro Progresivo'!$F$14</f>
        <v>5.5E-2</v>
      </c>
      <c r="F51" s="81">
        <f t="shared" si="2"/>
        <v>10.134663339450734</v>
      </c>
      <c r="G51" s="81">
        <f t="shared" si="0"/>
        <v>9.1211970055056604</v>
      </c>
      <c r="H51" s="81">
        <f t="shared" si="3"/>
        <v>2251.0315720961225</v>
      </c>
    </row>
    <row r="52" spans="3:8" x14ac:dyDescent="0.35">
      <c r="C52" s="83">
        <v>22</v>
      </c>
      <c r="D52" s="81">
        <f t="shared" si="1"/>
        <v>100</v>
      </c>
      <c r="E52" s="80">
        <f>'Ahorro Progresivo'!$F$14</f>
        <v>5.5E-2</v>
      </c>
      <c r="F52" s="81">
        <f t="shared" si="2"/>
        <v>10.627950942352337</v>
      </c>
      <c r="G52" s="81">
        <f t="shared" si="0"/>
        <v>9.5651558481171026</v>
      </c>
      <c r="H52" s="81">
        <f t="shared" si="3"/>
        <v>2360.5967279442398</v>
      </c>
    </row>
    <row r="53" spans="3:8" x14ac:dyDescent="0.35">
      <c r="C53" s="83">
        <v>23</v>
      </c>
      <c r="D53" s="81">
        <f t="shared" si="1"/>
        <v>100</v>
      </c>
      <c r="E53" s="80">
        <f>'Ahorro Progresivo'!$F$14</f>
        <v>5.5E-2</v>
      </c>
      <c r="F53" s="81">
        <f t="shared" si="2"/>
        <v>11.123245482487659</v>
      </c>
      <c r="G53" s="81">
        <f t="shared" si="0"/>
        <v>10.010920934238893</v>
      </c>
      <c r="H53" s="81">
        <f t="shared" si="3"/>
        <v>2470.6076488784788</v>
      </c>
    </row>
    <row r="54" spans="3:8" x14ac:dyDescent="0.35">
      <c r="C54" s="83">
        <v>24</v>
      </c>
      <c r="D54" s="81">
        <f t="shared" si="1"/>
        <v>100</v>
      </c>
      <c r="E54" s="80">
        <f>'Ahorro Progresivo'!$F$14</f>
        <v>5.5E-2</v>
      </c>
      <c r="F54" s="81">
        <f t="shared" si="2"/>
        <v>11.620555125067096</v>
      </c>
      <c r="G54" s="81">
        <f t="shared" si="0"/>
        <v>10.458499612560386</v>
      </c>
      <c r="H54" s="81">
        <f t="shared" si="3"/>
        <v>2581.0661484910393</v>
      </c>
    </row>
    <row r="55" spans="3:8" x14ac:dyDescent="0.35">
      <c r="C55" s="83">
        <v>25</v>
      </c>
      <c r="D55" s="81">
        <f t="shared" si="1"/>
        <v>100</v>
      </c>
      <c r="E55" s="80">
        <f>'Ahorro Progresivo'!$F$14</f>
        <v>5.5E-2</v>
      </c>
      <c r="F55" s="81">
        <f t="shared" si="2"/>
        <v>12.119888068521137</v>
      </c>
      <c r="G55" s="81">
        <f t="shared" si="0"/>
        <v>10.907899261669023</v>
      </c>
      <c r="H55" s="81">
        <f t="shared" si="3"/>
        <v>2691.9740477527084</v>
      </c>
    </row>
    <row r="56" spans="3:8" x14ac:dyDescent="0.35">
      <c r="C56" s="83">
        <v>26</v>
      </c>
      <c r="D56" s="81">
        <f t="shared" si="1"/>
        <v>100</v>
      </c>
      <c r="E56" s="80">
        <f>'Ahorro Progresivo'!$F$14</f>
        <v>5.5E-2</v>
      </c>
      <c r="F56" s="81">
        <f t="shared" si="2"/>
        <v>12.621252544635531</v>
      </c>
      <c r="G56" s="81">
        <f t="shared" si="0"/>
        <v>11.359127290171978</v>
      </c>
      <c r="H56" s="81">
        <f t="shared" si="3"/>
        <v>2803.3331750428806</v>
      </c>
    </row>
    <row r="57" spans="3:8" x14ac:dyDescent="0.35">
      <c r="C57" s="83">
        <v>27</v>
      </c>
      <c r="D57" s="81">
        <f t="shared" si="1"/>
        <v>100</v>
      </c>
      <c r="E57" s="80">
        <f>'Ahorro Progresivo'!$F$14</f>
        <v>5.5E-2</v>
      </c>
      <c r="F57" s="81">
        <f t="shared" si="2"/>
        <v>13.124656818686995</v>
      </c>
      <c r="G57" s="81">
        <f t="shared" si="0"/>
        <v>11.812191136818296</v>
      </c>
      <c r="H57" s="81">
        <f t="shared" si="3"/>
        <v>2915.1453661796991</v>
      </c>
    </row>
    <row r="58" spans="3:8" x14ac:dyDescent="0.35">
      <c r="C58" s="83">
        <v>28</v>
      </c>
      <c r="D58" s="81">
        <f t="shared" si="1"/>
        <v>100</v>
      </c>
      <c r="E58" s="80">
        <f>'Ahorro Progresivo'!$F$14</f>
        <v>5.5E-2</v>
      </c>
      <c r="F58" s="81">
        <f t="shared" si="2"/>
        <v>13.630109189579462</v>
      </c>
      <c r="G58" s="81">
        <f t="shared" si="0"/>
        <v>12.267098270621517</v>
      </c>
      <c r="H58" s="81">
        <f t="shared" si="3"/>
        <v>3027.4124644503204</v>
      </c>
    </row>
    <row r="59" spans="3:8" x14ac:dyDescent="0.35">
      <c r="C59" s="83">
        <v>29</v>
      </c>
      <c r="D59" s="81">
        <f t="shared" si="1"/>
        <v>100</v>
      </c>
      <c r="E59" s="80">
        <f>'Ahorro Progresivo'!$F$14</f>
        <v>5.5E-2</v>
      </c>
      <c r="F59" s="81">
        <f t="shared" si="2"/>
        <v>14.1376179899809</v>
      </c>
      <c r="G59" s="81">
        <f t="shared" si="0"/>
        <v>12.72385619098281</v>
      </c>
      <c r="H59" s="81">
        <f t="shared" si="3"/>
        <v>3140.136320641303</v>
      </c>
    </row>
    <row r="60" spans="3:8" x14ac:dyDescent="0.35">
      <c r="C60" s="83">
        <v>30</v>
      </c>
      <c r="D60" s="81">
        <f t="shared" si="1"/>
        <v>100</v>
      </c>
      <c r="E60" s="80">
        <f>'Ahorro Progresivo'!$F$14</f>
        <v>5.5E-2</v>
      </c>
      <c r="F60" s="81">
        <f t="shared" si="2"/>
        <v>14.647191586460686</v>
      </c>
      <c r="G60" s="81">
        <f t="shared" si="0"/>
        <v>13.182472427814616</v>
      </c>
      <c r="H60" s="81">
        <f t="shared" si="3"/>
        <v>3253.3187930691174</v>
      </c>
    </row>
    <row r="61" spans="3:8" x14ac:dyDescent="0.35">
      <c r="C61" s="83">
        <v>31</v>
      </c>
      <c r="D61" s="81">
        <f t="shared" si="1"/>
        <v>100</v>
      </c>
      <c r="E61" s="80">
        <f>'Ahorro Progresivo'!$F$14</f>
        <v>5.5E-2</v>
      </c>
      <c r="F61" s="81">
        <f t="shared" si="2"/>
        <v>15.158838379627518</v>
      </c>
      <c r="G61" s="81">
        <f t="shared" si="0"/>
        <v>13.642954541664766</v>
      </c>
      <c r="H61" s="81">
        <f t="shared" si="3"/>
        <v>3366.9617476107824</v>
      </c>
    </row>
    <row r="62" spans="3:8" x14ac:dyDescent="0.35">
      <c r="C62" s="83">
        <v>32</v>
      </c>
      <c r="D62" s="81">
        <f t="shared" si="1"/>
        <v>100</v>
      </c>
      <c r="E62" s="80">
        <f>'Ahorro Progresivo'!$F$14</f>
        <v>5.5E-2</v>
      </c>
      <c r="F62" s="81">
        <f t="shared" si="2"/>
        <v>15.67256680426792</v>
      </c>
      <c r="G62" s="81">
        <f t="shared" si="0"/>
        <v>14.105310123841127</v>
      </c>
      <c r="H62" s="81">
        <f t="shared" si="3"/>
        <v>3481.0670577346236</v>
      </c>
    </row>
    <row r="63" spans="3:8" x14ac:dyDescent="0.35">
      <c r="C63" s="83">
        <v>33</v>
      </c>
      <c r="D63" s="81">
        <f t="shared" si="1"/>
        <v>100</v>
      </c>
      <c r="E63" s="80">
        <f>'Ahorro Progresivo'!$F$14</f>
        <v>5.5E-2</v>
      </c>
      <c r="F63" s="81">
        <f t="shared" si="2"/>
        <v>16.188385329485286</v>
      </c>
      <c r="G63" s="81">
        <f t="shared" ref="G63:G90" si="4">F63-(F63*10%)</f>
        <v>14.569546796536757</v>
      </c>
      <c r="H63" s="81">
        <f t="shared" si="3"/>
        <v>3595.6366045311602</v>
      </c>
    </row>
    <row r="64" spans="3:8" x14ac:dyDescent="0.35">
      <c r="C64" s="83">
        <v>34</v>
      </c>
      <c r="D64" s="81">
        <f t="shared" si="1"/>
        <v>100</v>
      </c>
      <c r="E64" s="80">
        <f>'Ahorro Progresivo'!$F$14</f>
        <v>5.5E-2</v>
      </c>
      <c r="F64" s="81">
        <f t="shared" ref="F64:F90" si="5">(((H63+D64)*E64)/365)*30</f>
        <v>16.706302458839492</v>
      </c>
      <c r="G64" s="81">
        <f t="shared" si="4"/>
        <v>15.035672212955543</v>
      </c>
      <c r="H64" s="81">
        <f t="shared" ref="H64:H90" si="6">H63+D64+G64</f>
        <v>3710.6722767441156</v>
      </c>
    </row>
    <row r="65" spans="3:8" x14ac:dyDescent="0.35">
      <c r="C65" s="83">
        <v>35</v>
      </c>
      <c r="D65" s="81">
        <f t="shared" si="1"/>
        <v>100</v>
      </c>
      <c r="E65" s="80">
        <f>'Ahorro Progresivo'!$F$14</f>
        <v>5.5E-2</v>
      </c>
      <c r="F65" s="81">
        <f t="shared" si="5"/>
        <v>17.226326730487099</v>
      </c>
      <c r="G65" s="81">
        <f t="shared" si="4"/>
        <v>15.503694057438388</v>
      </c>
      <c r="H65" s="81">
        <f t="shared" si="6"/>
        <v>3826.1759708015538</v>
      </c>
    </row>
    <row r="66" spans="3:8" x14ac:dyDescent="0.35">
      <c r="C66" s="83">
        <v>36</v>
      </c>
      <c r="D66" s="81">
        <f t="shared" si="1"/>
        <v>100</v>
      </c>
      <c r="E66" s="80">
        <f>'Ahorro Progresivo'!$F$14</f>
        <v>5.5E-2</v>
      </c>
      <c r="F66" s="81">
        <f t="shared" si="5"/>
        <v>17.748466717322092</v>
      </c>
      <c r="G66" s="81">
        <f t="shared" si="4"/>
        <v>15.973620045589882</v>
      </c>
      <c r="H66" s="81">
        <f t="shared" si="6"/>
        <v>3942.1495908471438</v>
      </c>
    </row>
    <row r="67" spans="3:8" x14ac:dyDescent="0.35">
      <c r="C67" s="83">
        <v>37</v>
      </c>
      <c r="D67" s="81">
        <f t="shared" si="1"/>
        <v>100</v>
      </c>
      <c r="E67" s="80">
        <f>'Ahorro Progresivo'!$F$14</f>
        <v>5.5E-2</v>
      </c>
      <c r="F67" s="81">
        <f t="shared" si="5"/>
        <v>18.272731027117224</v>
      </c>
      <c r="G67" s="81">
        <f t="shared" si="4"/>
        <v>16.445457924405503</v>
      </c>
      <c r="H67" s="81">
        <f t="shared" si="6"/>
        <v>4058.5950487715495</v>
      </c>
    </row>
    <row r="68" spans="3:8" x14ac:dyDescent="0.35">
      <c r="C68" s="83">
        <v>38</v>
      </c>
      <c r="D68" s="81">
        <f t="shared" si="1"/>
        <v>100</v>
      </c>
      <c r="E68" s="80">
        <f>'Ahorro Progresivo'!$F$14</f>
        <v>5.5E-2</v>
      </c>
      <c r="F68" s="81">
        <f t="shared" si="5"/>
        <v>18.799128302665906</v>
      </c>
      <c r="G68" s="81">
        <f t="shared" si="4"/>
        <v>16.919215472399316</v>
      </c>
      <c r="H68" s="81">
        <f t="shared" si="6"/>
        <v>4175.5142642439487</v>
      </c>
    </row>
    <row r="69" spans="3:8" x14ac:dyDescent="0.35">
      <c r="C69" s="83">
        <v>39</v>
      </c>
      <c r="D69" s="81">
        <f t="shared" si="1"/>
        <v>100</v>
      </c>
      <c r="E69" s="80">
        <f>'Ahorro Progresivo'!$F$14</f>
        <v>5.5E-2</v>
      </c>
      <c r="F69" s="81">
        <f t="shared" si="5"/>
        <v>19.327667221924699</v>
      </c>
      <c r="G69" s="81">
        <f t="shared" si="4"/>
        <v>17.394900499732231</v>
      </c>
      <c r="H69" s="81">
        <f t="shared" si="6"/>
        <v>4292.9091647436808</v>
      </c>
    </row>
    <row r="70" spans="3:8" x14ac:dyDescent="0.35">
      <c r="C70" s="83">
        <v>40</v>
      </c>
      <c r="D70" s="81">
        <f t="shared" si="1"/>
        <v>100</v>
      </c>
      <c r="E70" s="80">
        <f>'Ahorro Progresivo'!$F$14</f>
        <v>5.5E-2</v>
      </c>
      <c r="F70" s="81">
        <f t="shared" si="5"/>
        <v>19.858356498156368</v>
      </c>
      <c r="G70" s="81">
        <f t="shared" si="4"/>
        <v>17.872520848340731</v>
      </c>
      <c r="H70" s="81">
        <f t="shared" si="6"/>
        <v>4410.7816855920219</v>
      </c>
    </row>
    <row r="71" spans="3:8" x14ac:dyDescent="0.35">
      <c r="C71" s="83">
        <v>41</v>
      </c>
      <c r="D71" s="81">
        <f t="shared" si="1"/>
        <v>100</v>
      </c>
      <c r="E71" s="80">
        <f>'Ahorro Progresivo'!$F$14</f>
        <v>5.5E-2</v>
      </c>
      <c r="F71" s="81">
        <f t="shared" si="5"/>
        <v>20.391204880073523</v>
      </c>
      <c r="G71" s="81">
        <f t="shared" si="4"/>
        <v>18.352084392066171</v>
      </c>
      <c r="H71" s="81">
        <f t="shared" si="6"/>
        <v>4529.1337699840878</v>
      </c>
    </row>
    <row r="72" spans="3:8" x14ac:dyDescent="0.35">
      <c r="C72" s="83">
        <v>42</v>
      </c>
      <c r="D72" s="81">
        <f t="shared" si="1"/>
        <v>100</v>
      </c>
      <c r="E72" s="80">
        <f>'Ahorro Progresivo'!$F$14</f>
        <v>5.5E-2</v>
      </c>
      <c r="F72" s="81">
        <f t="shared" si="5"/>
        <v>20.926221151982862</v>
      </c>
      <c r="G72" s="81">
        <f t="shared" si="4"/>
        <v>18.833599036784577</v>
      </c>
      <c r="H72" s="81">
        <f t="shared" si="6"/>
        <v>4647.9673690208729</v>
      </c>
    </row>
    <row r="73" spans="3:8" x14ac:dyDescent="0.35">
      <c r="C73" s="83">
        <v>43</v>
      </c>
      <c r="D73" s="81">
        <f t="shared" si="1"/>
        <v>100</v>
      </c>
      <c r="E73" s="80">
        <f>'Ahorro Progresivo'!$F$14</f>
        <v>5.5E-2</v>
      </c>
      <c r="F73" s="81">
        <f t="shared" si="5"/>
        <v>21.46341413392997</v>
      </c>
      <c r="G73" s="81">
        <f t="shared" si="4"/>
        <v>19.317072720536974</v>
      </c>
      <c r="H73" s="81">
        <f t="shared" si="6"/>
        <v>4767.2844417414099</v>
      </c>
    </row>
    <row r="74" spans="3:8" x14ac:dyDescent="0.35">
      <c r="C74" s="83">
        <v>44</v>
      </c>
      <c r="D74" s="81">
        <f t="shared" si="1"/>
        <v>100</v>
      </c>
      <c r="E74" s="80">
        <f>'Ahorro Progresivo'!$F$14</f>
        <v>5.5E-2</v>
      </c>
      <c r="F74" s="81">
        <f t="shared" si="5"/>
        <v>22.002792681844728</v>
      </c>
      <c r="G74" s="81">
        <f t="shared" si="4"/>
        <v>19.802513413660254</v>
      </c>
      <c r="H74" s="81">
        <f t="shared" si="6"/>
        <v>4887.0869551550704</v>
      </c>
    </row>
    <row r="75" spans="3:8" x14ac:dyDescent="0.35">
      <c r="C75" s="83">
        <v>45</v>
      </c>
      <c r="D75" s="81">
        <f t="shared" si="1"/>
        <v>100</v>
      </c>
      <c r="E75" s="80">
        <f>'Ahorro Progresivo'!$F$14</f>
        <v>5.5E-2</v>
      </c>
      <c r="F75" s="81">
        <f t="shared" si="5"/>
        <v>22.544365687687304</v>
      </c>
      <c r="G75" s="81">
        <f t="shared" si="4"/>
        <v>20.289929118918572</v>
      </c>
      <c r="H75" s="81">
        <f t="shared" si="6"/>
        <v>5007.3768842739892</v>
      </c>
    </row>
    <row r="76" spans="3:8" x14ac:dyDescent="0.35">
      <c r="C76" s="83">
        <v>46</v>
      </c>
      <c r="D76" s="81">
        <f t="shared" si="1"/>
        <v>100</v>
      </c>
      <c r="E76" s="80">
        <f>'Ahorro Progresivo'!$F$14</f>
        <v>5.5E-2</v>
      </c>
      <c r="F76" s="81">
        <f t="shared" si="5"/>
        <v>23.088142079594746</v>
      </c>
      <c r="G76" s="81">
        <f t="shared" si="4"/>
        <v>20.779327871635271</v>
      </c>
      <c r="H76" s="81">
        <f t="shared" si="6"/>
        <v>5128.1562121456245</v>
      </c>
    </row>
    <row r="77" spans="3:8" x14ac:dyDescent="0.35">
      <c r="C77" s="83">
        <v>47</v>
      </c>
      <c r="D77" s="81">
        <f t="shared" si="1"/>
        <v>100</v>
      </c>
      <c r="E77" s="80">
        <f>'Ahorro Progresivo'!$F$14</f>
        <v>5.5E-2</v>
      </c>
      <c r="F77" s="81">
        <f t="shared" si="5"/>
        <v>23.634130822028165</v>
      </c>
      <c r="G77" s="81">
        <f t="shared" si="4"/>
        <v>21.270717739825351</v>
      </c>
      <c r="H77" s="81">
        <f t="shared" si="6"/>
        <v>5249.4269298854497</v>
      </c>
    </row>
    <row r="78" spans="3:8" x14ac:dyDescent="0.35">
      <c r="C78" s="83">
        <v>48</v>
      </c>
      <c r="D78" s="81">
        <f t="shared" si="1"/>
        <v>100</v>
      </c>
      <c r="E78" s="80">
        <f>'Ahorro Progresivo'!$F$14</f>
        <v>5.5E-2</v>
      </c>
      <c r="F78" s="81">
        <f t="shared" si="5"/>
        <v>24.182340915920527</v>
      </c>
      <c r="G78" s="81">
        <f t="shared" si="4"/>
        <v>21.764106824328472</v>
      </c>
      <c r="H78" s="81">
        <f t="shared" si="6"/>
        <v>5371.191036709778</v>
      </c>
    </row>
    <row r="79" spans="3:8" x14ac:dyDescent="0.35">
      <c r="C79" s="83">
        <v>49</v>
      </c>
      <c r="D79" s="81">
        <f t="shared" si="1"/>
        <v>100</v>
      </c>
      <c r="E79" s="80">
        <f>'Ahorro Progresivo'!$F$14</f>
        <v>5.5E-2</v>
      </c>
      <c r="F79" s="81">
        <f t="shared" si="5"/>
        <v>24.732781398825026</v>
      </c>
      <c r="G79" s="81">
        <f t="shared" si="4"/>
        <v>22.259503258942523</v>
      </c>
      <c r="H79" s="81">
        <f t="shared" si="6"/>
        <v>5493.4505399687205</v>
      </c>
    </row>
    <row r="80" spans="3:8" x14ac:dyDescent="0.35">
      <c r="C80" s="83">
        <v>50</v>
      </c>
      <c r="D80" s="81">
        <f t="shared" si="1"/>
        <v>100</v>
      </c>
      <c r="E80" s="80">
        <f>'Ahorro Progresivo'!$F$14</f>
        <v>5.5E-2</v>
      </c>
      <c r="F80" s="81">
        <f t="shared" si="5"/>
        <v>25.285461345064082</v>
      </c>
      <c r="G80" s="81">
        <f t="shared" si="4"/>
        <v>22.756915210557672</v>
      </c>
      <c r="H80" s="81">
        <f t="shared" si="6"/>
        <v>5616.2074551792784</v>
      </c>
    </row>
    <row r="81" spans="3:8" x14ac:dyDescent="0.35">
      <c r="C81" s="83">
        <v>51</v>
      </c>
      <c r="D81" s="81">
        <f t="shared" si="1"/>
        <v>100</v>
      </c>
      <c r="E81" s="80">
        <f>'Ahorro Progresivo'!$F$14</f>
        <v>5.5E-2</v>
      </c>
      <c r="F81" s="81">
        <f t="shared" si="5"/>
        <v>25.840389865878929</v>
      </c>
      <c r="G81" s="81">
        <f t="shared" si="4"/>
        <v>23.256350879291038</v>
      </c>
      <c r="H81" s="81">
        <f t="shared" si="6"/>
        <v>5739.4638060585694</v>
      </c>
    </row>
    <row r="82" spans="3:8" x14ac:dyDescent="0.35">
      <c r="C82" s="83">
        <v>52</v>
      </c>
      <c r="D82" s="81">
        <f t="shared" si="1"/>
        <v>100</v>
      </c>
      <c r="E82" s="80">
        <f>'Ahorro Progresivo'!$F$14</f>
        <v>5.5E-2</v>
      </c>
      <c r="F82" s="81">
        <f t="shared" si="5"/>
        <v>26.397576109579834</v>
      </c>
      <c r="G82" s="81">
        <f t="shared" si="4"/>
        <v>23.757818498621852</v>
      </c>
      <c r="H82" s="81">
        <f t="shared" si="6"/>
        <v>5863.2216245571908</v>
      </c>
    </row>
    <row r="83" spans="3:8" x14ac:dyDescent="0.35">
      <c r="C83" s="83">
        <v>53</v>
      </c>
      <c r="D83" s="81">
        <f t="shared" si="1"/>
        <v>100</v>
      </c>
      <c r="E83" s="80">
        <f>'Ahorro Progresivo'!$F$14</f>
        <v>5.5E-2</v>
      </c>
      <c r="F83" s="81">
        <f t="shared" si="5"/>
        <v>26.957029261696892</v>
      </c>
      <c r="G83" s="81">
        <f t="shared" si="4"/>
        <v>24.261326335527201</v>
      </c>
      <c r="H83" s="81">
        <f t="shared" si="6"/>
        <v>5987.4829508927178</v>
      </c>
    </row>
    <row r="84" spans="3:8" x14ac:dyDescent="0.35">
      <c r="C84" s="83">
        <v>54</v>
      </c>
      <c r="D84" s="81">
        <f t="shared" si="1"/>
        <v>100</v>
      </c>
      <c r="E84" s="80">
        <f>'Ahorro Progresivo'!$F$14</f>
        <v>5.5E-2</v>
      </c>
      <c r="F84" s="81">
        <f t="shared" si="5"/>
        <v>27.518758545131465</v>
      </c>
      <c r="G84" s="81">
        <f t="shared" si="4"/>
        <v>24.766882690618317</v>
      </c>
      <c r="H84" s="81">
        <f t="shared" si="6"/>
        <v>6112.2498335833361</v>
      </c>
    </row>
    <row r="85" spans="3:8" x14ac:dyDescent="0.35">
      <c r="C85" s="83">
        <v>55</v>
      </c>
      <c r="D85" s="81">
        <f t="shared" si="1"/>
        <v>100</v>
      </c>
      <c r="E85" s="80">
        <f>'Ahorro Progresivo'!$F$14</f>
        <v>5.5E-2</v>
      </c>
      <c r="F85" s="81">
        <f t="shared" si="5"/>
        <v>28.082773220308233</v>
      </c>
      <c r="G85" s="81">
        <f t="shared" si="4"/>
        <v>25.274495898277408</v>
      </c>
      <c r="H85" s="81">
        <f t="shared" si="6"/>
        <v>6237.5243294816137</v>
      </c>
    </row>
    <row r="86" spans="3:8" x14ac:dyDescent="0.35">
      <c r="C86" s="83">
        <v>56</v>
      </c>
      <c r="D86" s="81">
        <f t="shared" si="1"/>
        <v>100</v>
      </c>
      <c r="E86" s="80">
        <f>'Ahorro Progresivo'!$F$14</f>
        <v>5.5E-2</v>
      </c>
      <c r="F86" s="81">
        <f t="shared" si="5"/>
        <v>28.649082585327843</v>
      </c>
      <c r="G86" s="81">
        <f t="shared" si="4"/>
        <v>25.78417432679506</v>
      </c>
      <c r="H86" s="81">
        <f t="shared" si="6"/>
        <v>6363.3085038084091</v>
      </c>
    </row>
    <row r="87" spans="3:8" x14ac:dyDescent="0.35">
      <c r="C87" s="83">
        <v>57</v>
      </c>
      <c r="D87" s="81">
        <f t="shared" si="1"/>
        <v>100</v>
      </c>
      <c r="E87" s="80">
        <f>'Ahorro Progresivo'!$F$14</f>
        <v>5.5E-2</v>
      </c>
      <c r="F87" s="81">
        <f t="shared" si="5"/>
        <v>29.217695976120204</v>
      </c>
      <c r="G87" s="81">
        <f t="shared" si="4"/>
        <v>26.295926378508184</v>
      </c>
      <c r="H87" s="81">
        <f t="shared" si="6"/>
        <v>6489.6044301869169</v>
      </c>
    </row>
    <row r="88" spans="3:8" x14ac:dyDescent="0.35">
      <c r="C88" s="83">
        <v>58</v>
      </c>
      <c r="D88" s="81">
        <f t="shared" si="1"/>
        <v>100</v>
      </c>
      <c r="E88" s="80">
        <f>'Ahorro Progresivo'!$F$14</f>
        <v>5.5E-2</v>
      </c>
      <c r="F88" s="81">
        <f t="shared" si="5"/>
        <v>29.78862276659839</v>
      </c>
      <c r="G88" s="81">
        <f t="shared" si="4"/>
        <v>26.809760489938551</v>
      </c>
      <c r="H88" s="81">
        <f t="shared" si="6"/>
        <v>6616.4141906768555</v>
      </c>
    </row>
    <row r="89" spans="3:8" x14ac:dyDescent="0.35">
      <c r="C89" s="83">
        <v>59</v>
      </c>
      <c r="D89" s="81">
        <f t="shared" si="1"/>
        <v>100</v>
      </c>
      <c r="E89" s="80">
        <f>'Ahorro Progresivo'!$F$14</f>
        <v>5.5E-2</v>
      </c>
      <c r="F89" s="81">
        <f t="shared" si="5"/>
        <v>30.361872368813181</v>
      </c>
      <c r="G89" s="81">
        <f t="shared" si="4"/>
        <v>27.325685131931863</v>
      </c>
      <c r="H89" s="81">
        <f t="shared" si="6"/>
        <v>6743.7398758087875</v>
      </c>
    </row>
    <row r="90" spans="3:8" x14ac:dyDescent="0.35">
      <c r="C90" s="83">
        <v>60</v>
      </c>
      <c r="D90" s="81">
        <f t="shared" si="1"/>
        <v>100</v>
      </c>
      <c r="E90" s="80">
        <f>'Ahorro Progresivo'!$F$14</f>
        <v>5.5E-2</v>
      </c>
      <c r="F90" s="81">
        <f t="shared" si="5"/>
        <v>30.937454233108216</v>
      </c>
      <c r="G90" s="81">
        <f t="shared" si="4"/>
        <v>27.843708809797395</v>
      </c>
      <c r="H90" s="81">
        <f t="shared" si="6"/>
        <v>6871.5835846185846</v>
      </c>
    </row>
  </sheetData>
  <sheetProtection algorithmName="SHA-512" hashValue="8+R9+Mi6JwJfeqbgOXHaP4YGfGUYpuLPCJvaqbmBN5MEI+QbXOLCvPyYXO46/ZcJtP/Gmc+D8UZgzSKBxmjFhw==" saltValue="WoudPRNS3pDgo7bES15aIA==" spinCount="100000" sheet="1" objects="1" scenarios="1"/>
  <dataConsolidate/>
  <mergeCells count="14">
    <mergeCell ref="B27:I28"/>
    <mergeCell ref="C21:D21"/>
    <mergeCell ref="F21:H21"/>
    <mergeCell ref="B25:I25"/>
    <mergeCell ref="C17:D17"/>
    <mergeCell ref="F17:H17"/>
    <mergeCell ref="C19:D19"/>
    <mergeCell ref="F19:H19"/>
    <mergeCell ref="B3:I3"/>
    <mergeCell ref="F6:H6"/>
    <mergeCell ref="F8:H8"/>
    <mergeCell ref="F12:H12"/>
    <mergeCell ref="F14:H14"/>
    <mergeCell ref="F10:H10"/>
  </mergeCells>
  <conditionalFormatting sqref="C37">
    <cfRule type="cellIs" priority="1" operator="equal">
      <formula>#REF!=6</formula>
    </cfRule>
  </conditionalFormatting>
  <conditionalFormatting sqref="F10:H10">
    <cfRule type="cellIs" dxfId="2" priority="3" operator="greaterThan">
      <formula>100000</formula>
    </cfRule>
    <cfRule type="cellIs" dxfId="1" priority="4" operator="between">
      <formula>50</formula>
      <formula>100000</formula>
    </cfRule>
    <cfRule type="cellIs" dxfId="0" priority="5" operator="between">
      <formula>0</formula>
      <formula>49.99</formula>
    </cfRule>
  </conditionalFormatting>
  <dataValidations count="1">
    <dataValidation type="list" allowBlank="1" showInputMessage="1" showErrorMessage="1" sqref="F6:H6" xr:uid="{4E5A7013-D051-434F-8816-F8F2B9427C4C}">
      <formula1>#REF!</formula1>
    </dataValidation>
  </dataValidations>
  <pageMargins left="0.7" right="0.7" top="0.75" bottom="0.75" header="0.3" footer="0.3"/>
  <pageSetup scale="78" orientation="portrait" verticalDpi="0" r:id="rId1"/>
  <headerFooter>
    <oddHeader>&amp;R&amp;"Arial"&amp;10&amp;KBDBDBD DOCUMENTO INTERNO&amp;1#_x000D_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541EB1-C9EA-4684-AEBA-EF2A3857930B}">
          <x14:formula1>
            <xm:f>Formulas!$O$3:$O$8</xm:f>
          </x14:formula1>
          <xm:sqref>F8:H8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EE5B1-7141-4B64-A110-028A53322222}">
  <sheetPr>
    <tabColor rgb="FFFF0000"/>
  </sheetPr>
  <dimension ref="B1:O30"/>
  <sheetViews>
    <sheetView showGridLines="0" tabSelected="1" topLeftCell="A2" zoomScale="150" zoomScaleNormal="150" workbookViewId="0">
      <selection activeCell="K15" sqref="K15"/>
    </sheetView>
  </sheetViews>
  <sheetFormatPr baseColWidth="10" defaultColWidth="11.453125" defaultRowHeight="15.5" x14ac:dyDescent="0.35"/>
  <cols>
    <col min="1" max="1" width="3.7265625" style="30" customWidth="1"/>
    <col min="2" max="2" width="1.1796875" style="30" customWidth="1"/>
    <col min="3" max="3" width="14.7265625" style="30" customWidth="1"/>
    <col min="4" max="4" width="19.453125" style="30" bestFit="1" customWidth="1"/>
    <col min="5" max="5" width="18.453125" style="30" customWidth="1"/>
    <col min="6" max="6" width="5.7265625" style="30" customWidth="1"/>
    <col min="7" max="8" width="10.26953125" style="30" customWidth="1"/>
    <col min="9" max="9" width="0.81640625" style="30" customWidth="1"/>
    <col min="10" max="10" width="11.453125" style="30"/>
    <col min="11" max="11" width="11.453125" style="30" customWidth="1"/>
    <col min="12" max="12" width="16.26953125" style="30" hidden="1" customWidth="1"/>
    <col min="13" max="13" width="11.453125" style="30" hidden="1" customWidth="1"/>
    <col min="14" max="14" width="11.453125" style="30" customWidth="1"/>
    <col min="15" max="15" width="0" style="30" hidden="1" customWidth="1"/>
    <col min="16" max="16384" width="11.453125" style="30"/>
  </cols>
  <sheetData>
    <row r="1" spans="2:13" ht="7.5" hidden="1" customHeight="1" x14ac:dyDescent="0.35">
      <c r="L1" s="30" t="s">
        <v>29</v>
      </c>
      <c r="M1" s="30" t="s">
        <v>30</v>
      </c>
    </row>
    <row r="2" spans="2:13" ht="3.75" customHeight="1" x14ac:dyDescent="0.35">
      <c r="L2" s="30" t="s">
        <v>19</v>
      </c>
      <c r="M2" s="30" t="s">
        <v>21</v>
      </c>
    </row>
    <row r="3" spans="2:13" ht="16.5" customHeight="1" x14ac:dyDescent="0.35">
      <c r="B3" s="87" t="s">
        <v>76</v>
      </c>
      <c r="C3" s="88"/>
      <c r="D3" s="88"/>
      <c r="E3" s="88"/>
      <c r="F3" s="88"/>
      <c r="G3" s="88"/>
      <c r="H3" s="88"/>
      <c r="I3" s="88"/>
      <c r="J3" s="31"/>
      <c r="L3" s="30" t="s">
        <v>20</v>
      </c>
      <c r="M3" s="30" t="s">
        <v>26</v>
      </c>
    </row>
    <row r="4" spans="2:13" ht="2.25" customHeight="1" x14ac:dyDescent="0.35">
      <c r="M4" s="30" t="s">
        <v>27</v>
      </c>
    </row>
    <row r="5" spans="2:13" ht="4.5" customHeight="1" x14ac:dyDescent="0.35">
      <c r="B5" s="32"/>
      <c r="C5" s="33"/>
      <c r="D5" s="33"/>
      <c r="E5" s="33"/>
      <c r="F5" s="33"/>
      <c r="G5" s="33"/>
      <c r="H5" s="33"/>
      <c r="I5" s="34"/>
      <c r="M5" s="30" t="s">
        <v>28</v>
      </c>
    </row>
    <row r="6" spans="2:13" hidden="1" x14ac:dyDescent="0.35">
      <c r="B6" s="35"/>
      <c r="C6" s="36"/>
      <c r="D6" s="37" t="s">
        <v>14</v>
      </c>
      <c r="E6" s="37"/>
      <c r="F6" s="92" t="s">
        <v>29</v>
      </c>
      <c r="G6" s="92"/>
      <c r="H6" s="92"/>
      <c r="I6" s="38"/>
      <c r="M6" s="30" t="s">
        <v>22</v>
      </c>
    </row>
    <row r="7" spans="2:13" ht="2.25" hidden="1" customHeight="1" x14ac:dyDescent="0.35">
      <c r="B7" s="35"/>
      <c r="C7" s="36"/>
      <c r="D7" s="37"/>
      <c r="E7" s="37"/>
      <c r="F7" s="39"/>
      <c r="G7" s="39"/>
      <c r="H7" s="39"/>
      <c r="I7" s="40"/>
      <c r="M7" s="30" t="s">
        <v>41</v>
      </c>
    </row>
    <row r="8" spans="2:13" hidden="1" x14ac:dyDescent="0.35">
      <c r="B8" s="35"/>
      <c r="C8" s="36"/>
      <c r="D8" s="37" t="s">
        <v>31</v>
      </c>
      <c r="E8" s="37"/>
      <c r="F8" s="92" t="s">
        <v>19</v>
      </c>
      <c r="G8" s="92"/>
      <c r="H8" s="92"/>
      <c r="I8" s="40"/>
      <c r="M8" s="30" t="s">
        <v>46</v>
      </c>
    </row>
    <row r="9" spans="2:13" ht="2.25" customHeight="1" x14ac:dyDescent="0.35">
      <c r="B9" s="35"/>
      <c r="C9" s="36"/>
      <c r="D9" s="37"/>
      <c r="E9" s="37"/>
      <c r="F9" s="39"/>
      <c r="G9" s="39"/>
      <c r="H9" s="39"/>
      <c r="I9" s="40"/>
    </row>
    <row r="10" spans="2:13" ht="2.25" customHeight="1" x14ac:dyDescent="0.35">
      <c r="B10" s="35"/>
      <c r="C10" s="36"/>
      <c r="D10" s="37"/>
      <c r="E10" s="37"/>
      <c r="F10" s="39"/>
      <c r="G10" s="39"/>
      <c r="H10" s="39"/>
      <c r="I10" s="40"/>
    </row>
    <row r="11" spans="2:13" x14ac:dyDescent="0.35">
      <c r="B11" s="35"/>
      <c r="C11" s="36"/>
      <c r="D11" s="37" t="s">
        <v>15</v>
      </c>
      <c r="E11" s="37"/>
      <c r="F11" s="93">
        <v>1000000</v>
      </c>
      <c r="G11" s="93"/>
      <c r="H11" s="93"/>
      <c r="I11" s="40"/>
    </row>
    <row r="12" spans="2:13" ht="2.25" customHeight="1" x14ac:dyDescent="0.35">
      <c r="B12" s="35"/>
      <c r="C12" s="36"/>
      <c r="D12" s="41"/>
      <c r="E12" s="41"/>
      <c r="F12" s="42">
        <v>99.99</v>
      </c>
      <c r="G12" s="42"/>
      <c r="H12" s="42"/>
      <c r="I12" s="40"/>
    </row>
    <row r="13" spans="2:13" ht="2.25" customHeight="1" x14ac:dyDescent="0.35">
      <c r="B13" s="35"/>
      <c r="C13" s="36"/>
      <c r="D13" s="41"/>
      <c r="E13" s="41"/>
      <c r="F13" s="42"/>
      <c r="G13" s="42"/>
      <c r="H13" s="42"/>
      <c r="I13" s="40"/>
    </row>
    <row r="14" spans="2:13" x14ac:dyDescent="0.35">
      <c r="B14" s="35"/>
      <c r="C14" s="43" t="s">
        <v>3</v>
      </c>
      <c r="D14" s="43"/>
      <c r="E14" s="44"/>
      <c r="F14" s="90">
        <v>0.05</v>
      </c>
      <c r="G14" s="90"/>
      <c r="H14" s="90"/>
      <c r="I14" s="40"/>
    </row>
    <row r="15" spans="2:13" ht="1.5" customHeight="1" x14ac:dyDescent="0.35">
      <c r="B15" s="35"/>
      <c r="C15" s="45"/>
      <c r="D15" s="46"/>
      <c r="E15" s="45"/>
      <c r="F15" s="47"/>
      <c r="G15" s="47"/>
      <c r="H15" s="47"/>
      <c r="I15" s="40"/>
      <c r="K15" s="48"/>
    </row>
    <row r="16" spans="2:13" x14ac:dyDescent="0.35">
      <c r="B16" s="35"/>
      <c r="C16" s="89" t="s">
        <v>4</v>
      </c>
      <c r="D16" s="89"/>
      <c r="E16" s="44"/>
      <c r="F16" s="91">
        <f>((F11*F14)/365)*30</f>
        <v>4109.58904109589</v>
      </c>
      <c r="G16" s="91"/>
      <c r="H16" s="91"/>
      <c r="I16" s="40"/>
    </row>
    <row r="17" spans="2:15" ht="1.5" customHeight="1" x14ac:dyDescent="0.35">
      <c r="B17" s="35"/>
      <c r="C17" s="46"/>
      <c r="D17" s="46"/>
      <c r="E17" s="45"/>
      <c r="F17" s="28"/>
      <c r="G17" s="28"/>
      <c r="H17" s="28"/>
      <c r="I17" s="40"/>
    </row>
    <row r="18" spans="2:15" x14ac:dyDescent="0.35">
      <c r="B18" s="35"/>
      <c r="C18" s="89" t="s">
        <v>5</v>
      </c>
      <c r="D18" s="89"/>
      <c r="E18" s="44"/>
      <c r="F18" s="91">
        <f>F16*0.1</f>
        <v>410.95890410958901</v>
      </c>
      <c r="G18" s="91"/>
      <c r="H18" s="91"/>
      <c r="I18" s="40"/>
      <c r="O18"/>
    </row>
    <row r="19" spans="2:15" ht="1.5" customHeight="1" x14ac:dyDescent="0.35">
      <c r="B19" s="35"/>
      <c r="C19" s="46"/>
      <c r="D19" s="46"/>
      <c r="E19" s="45"/>
      <c r="F19" s="28"/>
      <c r="G19" s="28"/>
      <c r="H19" s="28"/>
      <c r="I19" s="40"/>
    </row>
    <row r="20" spans="2:15" x14ac:dyDescent="0.35">
      <c r="B20" s="35"/>
      <c r="C20" s="89" t="s">
        <v>6</v>
      </c>
      <c r="D20" s="89"/>
      <c r="E20" s="44"/>
      <c r="F20" s="91">
        <f>F16-F18</f>
        <v>3698.6301369863008</v>
      </c>
      <c r="G20" s="91"/>
      <c r="H20" s="91"/>
      <c r="I20" s="40"/>
    </row>
    <row r="21" spans="2:15" ht="1.5" customHeight="1" x14ac:dyDescent="0.35">
      <c r="B21" s="35"/>
      <c r="C21" s="49"/>
      <c r="D21" s="46"/>
      <c r="E21" s="46"/>
      <c r="F21" s="8"/>
      <c r="G21" s="8"/>
      <c r="H21" s="8"/>
      <c r="I21" s="40"/>
    </row>
    <row r="22" spans="2:15" ht="3.75" customHeight="1" x14ac:dyDescent="0.35">
      <c r="B22" s="50"/>
      <c r="C22" s="51"/>
      <c r="D22" s="51"/>
      <c r="E22" s="51"/>
      <c r="F22" s="52"/>
      <c r="G22" s="52"/>
      <c r="H22" s="52"/>
      <c r="I22" s="53"/>
    </row>
    <row r="23" spans="2:15" ht="3.5" customHeight="1" x14ac:dyDescent="0.35">
      <c r="O23"/>
    </row>
    <row r="24" spans="2:15" ht="11.5" customHeight="1" x14ac:dyDescent="0.35">
      <c r="B24" s="86" t="str">
        <f>IF(F8="BT Monetaria Vital",VLOOKUP(F8,Formulas!A27:B41,2,0),IF(F8="Monetaria Dolares",VLOOKUP(F8,Formulas!$A$27:$B$41,2,0),IF(F8="Ahorro Real",VLOOKUP(F8,Formulas!$A$27:$B$41,2,0),IF(F8="BT Ahorro Trabajador",VLOOKUP(F8,Formulas!$A$27:$C$41,2,0),IF(F8="BT Ahorro Vital",VLOOKUP(F8,Formulas!$A$27:$B$41,2,0),IF(F8="BT Ahorro Dolares",VLOOKUP(F8,Formulas!$A$27:$B$41,2,0),IF(F8="Ahorro Colaborador",VLOOKUP(F8,Formulas!$A$27:$B$41,2,0),IF(F8="Ahorro Empresas",VLOOKUP(F8,Formulas!$A$27:$B$41,2,0),IF(F8="Ahorro Piace",VLOOKUP(F8,Formulas!$A$27:$B$41,2,0),0)))))))))</f>
        <v>Abre tu cuenta con Q1,000 y cuando lo dupliques, Bantrab empieza a pagarte intereses.</v>
      </c>
      <c r="C24" s="86"/>
      <c r="D24" s="86"/>
      <c r="E24" s="86"/>
      <c r="F24" s="86"/>
      <c r="G24" s="86"/>
      <c r="H24" s="86"/>
      <c r="I24" s="86"/>
      <c r="O24"/>
    </row>
    <row r="25" spans="2:15" ht="1.5" customHeight="1" x14ac:dyDescent="0.35">
      <c r="O25"/>
    </row>
    <row r="26" spans="2:15" ht="15.5" customHeight="1" x14ac:dyDescent="0.35">
      <c r="B26" s="85" t="s">
        <v>43</v>
      </c>
      <c r="C26" s="85"/>
      <c r="D26" s="85"/>
      <c r="E26" s="85"/>
      <c r="F26" s="85"/>
      <c r="G26" s="85"/>
      <c r="H26" s="85"/>
      <c r="I26" s="85"/>
    </row>
    <row r="27" spans="2:15" x14ac:dyDescent="0.35">
      <c r="B27" s="85"/>
      <c r="C27" s="85"/>
      <c r="D27" s="85"/>
      <c r="E27" s="85"/>
      <c r="F27" s="85"/>
      <c r="G27" s="85"/>
      <c r="H27" s="85"/>
      <c r="I27" s="85"/>
    </row>
    <row r="30" spans="2:15" x14ac:dyDescent="0.35">
      <c r="H30"/>
    </row>
  </sheetData>
  <sheetProtection algorithmName="SHA-512" hashValue="Dj/JcSEpTnY72HoL3F6RezrRhZhBVIpdP01T/+cKVah0O8qpP76kn1y9VFchk1D37FT1v7kD3k8CJycsvaXmdw==" saltValue="qhDqj2kXIMHHRmL2rd7deA==" spinCount="100000" sheet="1" objects="1" scenarios="1"/>
  <dataConsolidate/>
  <mergeCells count="13">
    <mergeCell ref="B26:I27"/>
    <mergeCell ref="B3:I3"/>
    <mergeCell ref="F6:H6"/>
    <mergeCell ref="F8:H8"/>
    <mergeCell ref="F11:H11"/>
    <mergeCell ref="F14:H14"/>
    <mergeCell ref="C16:D16"/>
    <mergeCell ref="F16:H16"/>
    <mergeCell ref="C18:D18"/>
    <mergeCell ref="F18:H18"/>
    <mergeCell ref="C20:D20"/>
    <mergeCell ref="F20:H20"/>
    <mergeCell ref="B24:I24"/>
  </mergeCells>
  <dataValidations count="2">
    <dataValidation type="list" allowBlank="1" showInputMessage="1" showErrorMessage="1" sqref="F6:H6" xr:uid="{AFC74B27-F036-440B-B6EA-32AB85CF2DB4}">
      <formula1>$L$1:$M$1</formula1>
    </dataValidation>
    <dataValidation type="list" showInputMessage="1" showErrorMessage="1" sqref="F8" xr:uid="{24861035-394E-41A7-A222-78E9733B8D2A}">
      <formula1>INDIRECT(F6)</formula1>
    </dataValidation>
  </dataValidations>
  <pageMargins left="0.7" right="0.7" top="0.75" bottom="0.75" header="0.3" footer="0.3"/>
  <pageSetup scale="78" orientation="portrait" verticalDpi="0" r:id="rId1"/>
  <headerFooter>
    <oddHeader>&amp;R&amp;"Arial"&amp;10&amp;KBDBDBD DOCUMENTO INTERNO&amp;1#_x000D_</oddHeader>
  </headerFooter>
  <colBreaks count="1" manualBreakCount="1">
    <brk id="11" max="1048575" man="1"/>
  </colBreaks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B146-F62C-4CA7-A25E-F772C59D45B7}">
  <dimension ref="A1:P42"/>
  <sheetViews>
    <sheetView zoomScaleNormal="100" workbookViewId="0">
      <selection activeCell="D14" sqref="D14"/>
    </sheetView>
  </sheetViews>
  <sheetFormatPr baseColWidth="10" defaultColWidth="10.81640625" defaultRowHeight="14.5" x14ac:dyDescent="0.35"/>
  <cols>
    <col min="1" max="1" width="23" style="3" bestFit="1" customWidth="1"/>
    <col min="2" max="2" width="12.81640625" style="3" bestFit="1" customWidth="1"/>
    <col min="3" max="3" width="19.26953125" style="3" bestFit="1" customWidth="1"/>
    <col min="4" max="5" width="10.81640625" style="3"/>
    <col min="6" max="6" width="12.7265625" style="3" bestFit="1" customWidth="1"/>
    <col min="7" max="7" width="12.6328125" style="3" bestFit="1" customWidth="1"/>
    <col min="8" max="16384" width="10.81640625" style="3"/>
  </cols>
  <sheetData>
    <row r="1" spans="1:16" ht="15" thickBot="1" x14ac:dyDescent="0.4">
      <c r="A1" s="3" t="s">
        <v>16</v>
      </c>
      <c r="B1" s="3" t="s">
        <v>17</v>
      </c>
      <c r="C1" s="3" t="s">
        <v>18</v>
      </c>
      <c r="F1" s="3" t="s">
        <v>24</v>
      </c>
      <c r="O1" s="3" t="s">
        <v>60</v>
      </c>
    </row>
    <row r="2" spans="1:16" x14ac:dyDescent="0.35">
      <c r="A2" s="3" t="s">
        <v>19</v>
      </c>
      <c r="B2" s="3">
        <f>'CUENTAS A LA VISTA'!$F$10</f>
        <v>500</v>
      </c>
      <c r="C2" s="4">
        <f>IF(B2&lt;=1999.99,0%,IF(B2&lt;=25000,1%,IF(B2&lt;=75000,1.5%,IF(B2&lt;=250000,2%,IF(B2&lt;=500000,2.25%,IF(B2&lt;=1000000,2.5%,3%))))))</f>
        <v>0</v>
      </c>
      <c r="F2" s="101" t="s">
        <v>35</v>
      </c>
      <c r="G2" s="102"/>
      <c r="H2" s="103" t="s">
        <v>36</v>
      </c>
      <c r="I2" s="104"/>
      <c r="J2" s="104"/>
      <c r="K2" s="104"/>
      <c r="L2" s="105"/>
      <c r="O2" s="3" t="s">
        <v>62</v>
      </c>
      <c r="P2" s="3" t="s">
        <v>18</v>
      </c>
    </row>
    <row r="3" spans="1:16" ht="15" thickBot="1" x14ac:dyDescent="0.4">
      <c r="A3" s="5" t="s">
        <v>20</v>
      </c>
      <c r="B3" s="3">
        <f>'CUENTAS A LA VISTA'!$F$10</f>
        <v>500</v>
      </c>
      <c r="C3" s="4">
        <f>IF(B3&lt;=999.99,0%,IF(B3&lt;=24999.99,0.5%,IF(B3&lt;=99999.99,0.75%,IF(B3&lt;=999999.99,1%,1.25%))))</f>
        <v>0</v>
      </c>
      <c r="F3" s="10"/>
      <c r="G3" s="11"/>
      <c r="H3" s="12">
        <v>90</v>
      </c>
      <c r="I3" s="13">
        <v>180</v>
      </c>
      <c r="J3" s="13">
        <v>365</v>
      </c>
      <c r="K3" s="13">
        <v>730</v>
      </c>
      <c r="L3" s="14">
        <v>1080</v>
      </c>
      <c r="O3" s="3">
        <v>6</v>
      </c>
      <c r="P3" s="9">
        <v>0.03</v>
      </c>
    </row>
    <row r="4" spans="1:16" x14ac:dyDescent="0.35">
      <c r="A4" s="3" t="s">
        <v>21</v>
      </c>
      <c r="B4" s="3">
        <f>'CUENTAS A LA VISTA'!$F$10</f>
        <v>500</v>
      </c>
      <c r="C4" s="4">
        <f>IF(B4&lt;=1000,0%,IF(B4&lt;=50000,0.1%,IF(B4&lt;=100000,1.75%,IF(B4&lt;=500000,4%,5%))))</f>
        <v>0</v>
      </c>
      <c r="F4" s="15">
        <v>5000</v>
      </c>
      <c r="G4" s="16">
        <v>99999.99</v>
      </c>
      <c r="H4" s="17">
        <v>0</v>
      </c>
      <c r="I4" s="18">
        <v>4.4999999999999998E-2</v>
      </c>
      <c r="J4" s="18">
        <v>4.7500000000000001E-2</v>
      </c>
      <c r="K4" s="18">
        <v>0.05</v>
      </c>
      <c r="L4" s="19">
        <v>0</v>
      </c>
      <c r="O4" s="3">
        <v>12</v>
      </c>
      <c r="P4" s="9">
        <v>3.5000000000000003E-2</v>
      </c>
    </row>
    <row r="5" spans="1:16" x14ac:dyDescent="0.35">
      <c r="A5" s="3" t="s">
        <v>26</v>
      </c>
      <c r="B5" s="3">
        <f>'CUENTAS A LA VISTA'!$F$10</f>
        <v>500</v>
      </c>
      <c r="C5" s="4">
        <f>IF(B5&lt;=499.99,0%,IF(B5&lt;=100000,2.25%,3.5%))</f>
        <v>2.2499999999999999E-2</v>
      </c>
      <c r="F5" s="15">
        <v>100000</v>
      </c>
      <c r="G5" s="16">
        <v>299999.99</v>
      </c>
      <c r="H5" s="17">
        <v>0</v>
      </c>
      <c r="I5" s="18">
        <v>0.05</v>
      </c>
      <c r="J5" s="18">
        <v>5.2499999999999998E-2</v>
      </c>
      <c r="K5" s="18">
        <v>5.5E-2</v>
      </c>
      <c r="L5" s="19">
        <v>0</v>
      </c>
      <c r="O5" s="3">
        <v>24</v>
      </c>
      <c r="P5" s="9">
        <v>0.04</v>
      </c>
    </row>
    <row r="6" spans="1:16" x14ac:dyDescent="0.35">
      <c r="A6" s="3" t="s">
        <v>27</v>
      </c>
      <c r="B6" s="3">
        <f>'CUENTAS A LA VISTA'!$F$10</f>
        <v>500</v>
      </c>
      <c r="C6" s="4">
        <f>IF(B6&lt;=499.99,0%,IF(B6&lt;=100000,2.5%,4.5%))</f>
        <v>2.5000000000000001E-2</v>
      </c>
      <c r="F6" s="15">
        <v>300000</v>
      </c>
      <c r="G6" s="16">
        <v>499999.99</v>
      </c>
      <c r="H6" s="17">
        <v>0</v>
      </c>
      <c r="I6" s="18">
        <v>5.2499999999999998E-2</v>
      </c>
      <c r="J6" s="18">
        <v>6.1499999999999999E-2</v>
      </c>
      <c r="K6" s="18">
        <v>6.3500000000000001E-2</v>
      </c>
      <c r="L6" s="19">
        <v>0</v>
      </c>
      <c r="O6" s="3">
        <v>36</v>
      </c>
      <c r="P6" s="9">
        <v>4.4999999999999998E-2</v>
      </c>
    </row>
    <row r="7" spans="1:16" x14ac:dyDescent="0.35">
      <c r="A7" s="3" t="s">
        <v>28</v>
      </c>
      <c r="B7" s="3">
        <f>'CUENTAS A LA VISTA'!$F$10</f>
        <v>500</v>
      </c>
      <c r="C7" s="4">
        <f>IF(B3&lt;=999.99,0%,IF(B3&lt;=24999.99,1%,IF(B3&lt;=99999.99,1.25%,IF(B3&lt;=999999.99,1.5%,2%))))</f>
        <v>0</v>
      </c>
      <c r="F7" s="15">
        <v>500000</v>
      </c>
      <c r="G7" s="16">
        <v>999999.99</v>
      </c>
      <c r="H7" s="17">
        <v>0</v>
      </c>
      <c r="I7" s="18">
        <v>5.3999999999999999E-2</v>
      </c>
      <c r="J7" s="18">
        <v>6.2E-2</v>
      </c>
      <c r="K7" s="18">
        <v>6.4500000000000002E-2</v>
      </c>
      <c r="L7" s="19">
        <v>0</v>
      </c>
      <c r="O7" s="3">
        <v>48</v>
      </c>
      <c r="P7" s="9">
        <v>0.05</v>
      </c>
    </row>
    <row r="8" spans="1:16" ht="15" thickBot="1" x14ac:dyDescent="0.4">
      <c r="A8" s="3" t="s">
        <v>22</v>
      </c>
      <c r="B8" s="3">
        <f>'CUENTAS A LA VISTA'!$F$10</f>
        <v>500</v>
      </c>
      <c r="C8" s="7">
        <v>0.06</v>
      </c>
      <c r="F8" s="20">
        <v>1000000</v>
      </c>
      <c r="G8" s="21" t="s">
        <v>37</v>
      </c>
      <c r="H8" s="22">
        <v>0</v>
      </c>
      <c r="I8" s="23">
        <v>5.5E-2</v>
      </c>
      <c r="J8" s="23">
        <v>6.25E-2</v>
      </c>
      <c r="K8" s="23">
        <v>6.5000000000000002E-2</v>
      </c>
      <c r="L8" s="24">
        <v>0</v>
      </c>
      <c r="O8" s="3">
        <v>60</v>
      </c>
      <c r="P8" s="9">
        <v>5.5E-2</v>
      </c>
    </row>
    <row r="9" spans="1:16" x14ac:dyDescent="0.35">
      <c r="A9" s="3" t="s">
        <v>41</v>
      </c>
      <c r="B9" s="3">
        <f>'CUENTAS A LA VISTA'!$F$10</f>
        <v>500</v>
      </c>
      <c r="C9" s="7">
        <f>IF(B7&lt;500000,0%,IF(B7&lt;=5000000,4.5%,5%))</f>
        <v>0</v>
      </c>
      <c r="P9" s="9"/>
    </row>
    <row r="10" spans="1:16" ht="15" thickBot="1" x14ac:dyDescent="0.4">
      <c r="A10" s="3" t="s">
        <v>46</v>
      </c>
      <c r="B10" s="3">
        <f>'CUENTAS A LA VISTA'!$F$10</f>
        <v>500</v>
      </c>
      <c r="C10" s="9">
        <f>IF(B10&lt;100,0%,IF(B10&lt;=3000000,5.5%,0%))</f>
        <v>5.5E-2</v>
      </c>
      <c r="F10" s="3" t="s">
        <v>25</v>
      </c>
      <c r="P10" s="7"/>
    </row>
    <row r="11" spans="1:16" x14ac:dyDescent="0.35">
      <c r="F11" s="101" t="s">
        <v>35</v>
      </c>
      <c r="G11" s="102"/>
      <c r="H11" s="103" t="s">
        <v>36</v>
      </c>
      <c r="I11" s="104"/>
      <c r="J11" s="104"/>
      <c r="K11" s="104"/>
      <c r="L11" s="105"/>
      <c r="P11" s="7"/>
    </row>
    <row r="12" spans="1:16" ht="15" thickBot="1" x14ac:dyDescent="0.4">
      <c r="A12" s="3" t="s">
        <v>0</v>
      </c>
      <c r="B12" s="3" t="s">
        <v>13</v>
      </c>
      <c r="C12" s="3" t="s">
        <v>2</v>
      </c>
      <c r="D12" s="3" t="s">
        <v>8</v>
      </c>
      <c r="E12" s="3" t="s">
        <v>40</v>
      </c>
      <c r="F12" s="10"/>
      <c r="G12" s="11"/>
      <c r="H12" s="12">
        <v>90</v>
      </c>
      <c r="I12" s="13">
        <v>180</v>
      </c>
      <c r="J12" s="13">
        <v>365</v>
      </c>
      <c r="K12" s="13">
        <v>730</v>
      </c>
      <c r="L12" s="14">
        <v>1080</v>
      </c>
    </row>
    <row r="13" spans="1:16" x14ac:dyDescent="0.35">
      <c r="A13" s="3" t="s">
        <v>23</v>
      </c>
      <c r="B13" s="25">
        <f>'CDP'!$F$10</f>
        <v>365</v>
      </c>
      <c r="C13" s="6">
        <f>'CDP'!$F$12</f>
        <v>1000000</v>
      </c>
      <c r="D13" s="9">
        <f>IF(C13&lt;5000,0%,IF(C13&lt;=49999.99,5.5%,IF(C13&lt;=99999.99,5.75%,IF(C13&lt;=199999.99,6%,IF(C13&lt;=299999.99,6.25%,IF(C13&lt;=499999.99,6.6%,IF(C13&lt;=999999.99,6.7%,6.75%)))))))</f>
        <v>6.7500000000000004E-2</v>
      </c>
      <c r="E13" s="3">
        <f>IF(B13=0,0,IF(B13=180,6,IF(B13=365,12,IF(B13=540,18,24))))</f>
        <v>12</v>
      </c>
      <c r="F13" s="15">
        <v>1000</v>
      </c>
      <c r="G13" s="16">
        <v>24999.99</v>
      </c>
      <c r="H13" s="17">
        <v>0</v>
      </c>
      <c r="I13" s="18">
        <v>7.4999999999999997E-3</v>
      </c>
      <c r="J13" s="18">
        <v>1.2500000000000001E-2</v>
      </c>
      <c r="K13" s="18"/>
      <c r="L13" s="19">
        <v>0</v>
      </c>
    </row>
    <row r="14" spans="1:16" x14ac:dyDescent="0.35">
      <c r="A14" s="3" t="s">
        <v>24</v>
      </c>
      <c r="B14" s="25">
        <f>'CDP'!$F$10</f>
        <v>365</v>
      </c>
      <c r="C14" s="6">
        <f>'CDP'!$F$12</f>
        <v>1000000</v>
      </c>
      <c r="D14" s="9">
        <f>IF(AND(B14=H3,C14&lt;F4),0%,IF(AND(B14=H3,B14&lt;=G4),H4,IF(AND(B14=H3,C14&lt;=G5),H5,IF(AND(B14=H3,C14&lt;=G6),H6,IF(AND(B14=H3,C14&lt;=G7),H7,IF(AND(B14=H3,C14&gt;G7),H8,IF(AND(B14=I3,C14&lt;F4),0%,IF(AND(B14=I3,C14&lt;=G4),I4,IF(AND(B14=I3,C14&lt;=G5),I5,IF(AND(B14=I3,C14&lt;=G6),I6,IF(AND(B14=I3,C14&lt;=G7),I7,IF(AND(B14=I3,C14&gt;G7),I8,IF(AND(B14=J3,C14&lt;F4),0%,IF(AND(B14=J3,C14&lt;=G4),J4,IF(AND(B14=J3,C14&lt;=G5),J5,IF(AND(B14=J3,C14&lt;=G6),J6,IF(AND(B14=J3,C14&lt;=G7),J7,IF(AND(B14=J3,C14&gt;G7),J8,IF(AND(B14=K3,C14&lt;F4),0%,IF(AND(B14=K3,C14&lt;=G4),K4,IF(AND(B14=K3,C14&lt;=G5),K5,IF(AND(B14=K3,C14&lt;=G6),K6,IF(AND(B14=K3,C14&lt;=G7),K7,K8)))))))))))))))))))))))</f>
        <v>6.25E-2</v>
      </c>
      <c r="E14" s="3">
        <f t="shared" ref="E14:E17" si="0">IF(B14=0,0,IF(B14=180,6,IF(B14=365,12,IF(B14=540,18,24))))</f>
        <v>12</v>
      </c>
      <c r="F14" s="15">
        <v>25000</v>
      </c>
      <c r="G14" s="16">
        <v>99999.99</v>
      </c>
      <c r="H14" s="17">
        <v>0</v>
      </c>
      <c r="I14" s="18">
        <v>1.2500000000000001E-2</v>
      </c>
      <c r="J14" s="18">
        <v>1.4999999999999999E-2</v>
      </c>
      <c r="K14" s="18"/>
      <c r="L14" s="19">
        <v>0</v>
      </c>
    </row>
    <row r="15" spans="1:16" x14ac:dyDescent="0.35">
      <c r="A15" s="3" t="s">
        <v>25</v>
      </c>
      <c r="B15" s="25">
        <f>'CDP'!$F$10</f>
        <v>365</v>
      </c>
      <c r="C15" s="6">
        <f>'CDP'!$F$12</f>
        <v>1000000</v>
      </c>
      <c r="D15" s="9">
        <f>IF(AND(B15=I12,C15&lt;F13),0%,IF(AND(B15=I12,C15&lt;=G13),I13,IF(AND(B15=I12,C15&lt;=G14),I14,IF(AND(B15=I12,C15&lt;=G15),I15,IF(AND(B15=I12,C15&lt;=G16),I16,IF(AND(B15=I12,C15&gt;G16),I17,IF(AND(B15=J12,C15&lt;F13),0%,IF(AND(B15=J12,C15&lt;=G13),J13,IF(AND(B15=J12,C15&lt;=G14),J14,IF(AND(B15=J12,C15&lt;=G15),J15,IF(AND(B15=J12,C15&lt;=G16),J16,J17)))))))))))</f>
        <v>2.2499999999999999E-2</v>
      </c>
      <c r="E15" s="3">
        <f t="shared" si="0"/>
        <v>12</v>
      </c>
      <c r="F15" s="15">
        <v>100000</v>
      </c>
      <c r="G15" s="16">
        <v>249999.99</v>
      </c>
      <c r="H15" s="17">
        <v>0</v>
      </c>
      <c r="I15" s="18">
        <v>1.4999999999999999E-2</v>
      </c>
      <c r="J15" s="18">
        <v>1.7500000000000002E-2</v>
      </c>
      <c r="K15" s="18"/>
      <c r="L15" s="19">
        <v>0</v>
      </c>
    </row>
    <row r="16" spans="1:16" x14ac:dyDescent="0.35">
      <c r="A16" s="3" t="s">
        <v>38</v>
      </c>
      <c r="B16" s="25">
        <f>'CDP'!$F$10</f>
        <v>365</v>
      </c>
      <c r="C16" s="6">
        <f>'CDP'!$F$12</f>
        <v>1000000</v>
      </c>
      <c r="D16" s="9">
        <f>IF(AND(B16=H21,C16&lt;F22),0%,IF(AND(B16=H21,C16&lt;=G22),H22,IF(AND(B16=H21,C16&lt;=G23),H23,IF(AND(B16=H21,C16&lt;=G24),H24,IF(AND(B16=H21,C16&gt;G24),H25,IF(AND(B16=I21,C16&lt;F22),0%,IF(AND(B16=I21,C16&lt;=G22),I22,IF(AND(B16=I21,C16&lt;=G23),I23,IF(AND(B16=I21,C16&lt;=G24),I24,IF(AND(B16=I21,C16&gt;G24),I25,IF(AND(B16=J21,C16&lt;F22),0%,IF(AND(B16=J21,C16&lt;=G22),J22,IF(AND(B16=J21,C16&lt;=G23),J23,IF(AND(B16=J21,C16&lt;=G24),J24,IF(AND(B16=J21,C16&gt;G24),J25,IF(AND(B16=K21,C16&lt;F22),0%,IF(AND(B16=K21,C16&lt;=G22),K22,IF(AND(B16=K21,C16&lt;=G23),K23,IF(AND(B16=K21,C16&lt;=G24),K24,K25)))))))))))))))))))</f>
        <v>4.7500000000000001E-2</v>
      </c>
      <c r="E16" s="3">
        <f t="shared" si="0"/>
        <v>12</v>
      </c>
      <c r="F16" s="15">
        <v>250000</v>
      </c>
      <c r="G16" s="16">
        <v>999999.99</v>
      </c>
      <c r="H16" s="17">
        <v>0</v>
      </c>
      <c r="I16" s="18">
        <v>1.7500000000000002E-2</v>
      </c>
      <c r="J16" s="18">
        <v>0.02</v>
      </c>
      <c r="K16" s="18"/>
      <c r="L16" s="19">
        <v>0</v>
      </c>
    </row>
    <row r="17" spans="1:12" ht="15" thickBot="1" x14ac:dyDescent="0.4">
      <c r="A17" s="3" t="s">
        <v>47</v>
      </c>
      <c r="B17" s="25">
        <f>'CDP'!$F$10</f>
        <v>365</v>
      </c>
      <c r="C17" s="6">
        <f>'CDP'!$F$12</f>
        <v>1000000</v>
      </c>
      <c r="D17" s="9">
        <f>IF(C17&lt;5000,0%,6.5%)</f>
        <v>6.5000000000000002E-2</v>
      </c>
      <c r="E17" s="3">
        <f t="shared" si="0"/>
        <v>12</v>
      </c>
      <c r="F17" s="20">
        <v>1000000</v>
      </c>
      <c r="G17" s="21" t="s">
        <v>37</v>
      </c>
      <c r="H17" s="22">
        <v>0</v>
      </c>
      <c r="I17" s="23">
        <v>0.02</v>
      </c>
      <c r="J17" s="23">
        <v>2.2499999999999999E-2</v>
      </c>
      <c r="K17" s="23"/>
      <c r="L17" s="24">
        <v>0</v>
      </c>
    </row>
    <row r="19" spans="1:12" ht="15" thickBot="1" x14ac:dyDescent="0.4">
      <c r="F19" s="3" t="s">
        <v>38</v>
      </c>
    </row>
    <row r="20" spans="1:12" x14ac:dyDescent="0.35">
      <c r="F20" s="101" t="s">
        <v>35</v>
      </c>
      <c r="G20" s="102"/>
      <c r="H20" s="103" t="s">
        <v>36</v>
      </c>
      <c r="I20" s="104"/>
      <c r="J20" s="104"/>
      <c r="K20" s="104"/>
      <c r="L20" s="105"/>
    </row>
    <row r="21" spans="1:12" ht="15" thickBot="1" x14ac:dyDescent="0.4">
      <c r="F21" s="10"/>
      <c r="G21" s="11"/>
      <c r="H21" s="12">
        <v>180</v>
      </c>
      <c r="I21" s="13">
        <v>365</v>
      </c>
      <c r="J21" s="13">
        <v>540</v>
      </c>
      <c r="K21" s="13">
        <v>730</v>
      </c>
      <c r="L21" s="14">
        <v>1080</v>
      </c>
    </row>
    <row r="22" spans="1:12" x14ac:dyDescent="0.35">
      <c r="F22" s="15">
        <v>100000</v>
      </c>
      <c r="G22" s="16">
        <v>999999.99</v>
      </c>
      <c r="H22" s="17">
        <v>4.4499999999999998E-2</v>
      </c>
      <c r="I22" s="18">
        <v>4.5999999999999999E-2</v>
      </c>
      <c r="J22" s="18">
        <v>4.7E-2</v>
      </c>
      <c r="K22" s="18">
        <v>4.8500000000000001E-2</v>
      </c>
      <c r="L22" s="19">
        <v>0</v>
      </c>
    </row>
    <row r="23" spans="1:12" x14ac:dyDescent="0.35">
      <c r="F23" s="15">
        <v>1000000</v>
      </c>
      <c r="G23" s="16">
        <v>2999999.99</v>
      </c>
      <c r="H23" s="17">
        <v>4.5999999999999999E-2</v>
      </c>
      <c r="I23" s="18">
        <v>4.7500000000000001E-2</v>
      </c>
      <c r="J23" s="18">
        <v>4.8500000000000001E-2</v>
      </c>
      <c r="K23" s="18">
        <v>0.05</v>
      </c>
      <c r="L23" s="19">
        <v>0</v>
      </c>
    </row>
    <row r="24" spans="1:12" x14ac:dyDescent="0.35">
      <c r="F24" s="15">
        <v>3000000</v>
      </c>
      <c r="G24" s="16">
        <v>4999999.99</v>
      </c>
      <c r="H24" s="17">
        <v>4.7500000000000001E-2</v>
      </c>
      <c r="I24" s="18">
        <v>4.9000000000000002E-2</v>
      </c>
      <c r="J24" s="18">
        <v>0.05</v>
      </c>
      <c r="K24" s="18">
        <v>5.1499999999999997E-2</v>
      </c>
      <c r="L24" s="19">
        <v>0</v>
      </c>
    </row>
    <row r="25" spans="1:12" ht="15" thickBot="1" x14ac:dyDescent="0.4">
      <c r="F25" s="20">
        <v>5000000</v>
      </c>
      <c r="G25" s="21" t="s">
        <v>37</v>
      </c>
      <c r="H25" s="17">
        <v>4.8500000000000001E-2</v>
      </c>
      <c r="I25" s="18">
        <v>0.05</v>
      </c>
      <c r="J25" s="18">
        <v>5.0999999999999997E-2</v>
      </c>
      <c r="K25" s="18">
        <v>5.2499999999999998E-2</v>
      </c>
      <c r="L25" s="19">
        <v>0</v>
      </c>
    </row>
    <row r="27" spans="1:12" x14ac:dyDescent="0.35">
      <c r="A27" s="3" t="s">
        <v>16</v>
      </c>
      <c r="B27" s="3" t="s">
        <v>44</v>
      </c>
    </row>
    <row r="28" spans="1:12" x14ac:dyDescent="0.35">
      <c r="A28" s="3" t="s">
        <v>19</v>
      </c>
      <c r="B28" s="3" t="s">
        <v>54</v>
      </c>
    </row>
    <row r="29" spans="1:12" x14ac:dyDescent="0.35">
      <c r="A29" s="5" t="s">
        <v>20</v>
      </c>
      <c r="B29" s="3" t="s">
        <v>53</v>
      </c>
    </row>
    <row r="30" spans="1:12" x14ac:dyDescent="0.35">
      <c r="A30" s="3" t="s">
        <v>21</v>
      </c>
      <c r="B30" s="3" t="s">
        <v>50</v>
      </c>
    </row>
    <row r="31" spans="1:12" x14ac:dyDescent="0.35">
      <c r="A31" s="3" t="s">
        <v>26</v>
      </c>
      <c r="B31" s="3" t="s">
        <v>52</v>
      </c>
    </row>
    <row r="32" spans="1:12" x14ac:dyDescent="0.35">
      <c r="A32" s="3" t="s">
        <v>27</v>
      </c>
      <c r="B32" s="3" t="s">
        <v>51</v>
      </c>
    </row>
    <row r="33" spans="1:2" x14ac:dyDescent="0.35">
      <c r="A33" s="3" t="s">
        <v>28</v>
      </c>
      <c r="B33" s="3" t="s">
        <v>49</v>
      </c>
    </row>
    <row r="34" spans="1:2" x14ac:dyDescent="0.35">
      <c r="A34" s="3" t="s">
        <v>22</v>
      </c>
      <c r="B34" s="3" t="s">
        <v>45</v>
      </c>
    </row>
    <row r="35" spans="1:2" x14ac:dyDescent="0.35">
      <c r="A35" s="3" t="s">
        <v>41</v>
      </c>
      <c r="B35" s="3" t="s">
        <v>42</v>
      </c>
    </row>
    <row r="36" spans="1:2" x14ac:dyDescent="0.35">
      <c r="A36" s="3" t="s">
        <v>46</v>
      </c>
      <c r="B36" s="3" t="s">
        <v>58</v>
      </c>
    </row>
    <row r="37" spans="1:2" x14ac:dyDescent="0.35">
      <c r="A37" s="3" t="s">
        <v>23</v>
      </c>
      <c r="B37" s="3" t="s">
        <v>56</v>
      </c>
    </row>
    <row r="38" spans="1:2" x14ac:dyDescent="0.35">
      <c r="A38" s="3" t="s">
        <v>24</v>
      </c>
      <c r="B38" s="3" t="s">
        <v>59</v>
      </c>
    </row>
    <row r="39" spans="1:2" x14ac:dyDescent="0.35">
      <c r="A39" s="3" t="s">
        <v>25</v>
      </c>
      <c r="B39" s="3" t="s">
        <v>55</v>
      </c>
    </row>
    <row r="40" spans="1:2" x14ac:dyDescent="0.35">
      <c r="A40" s="3" t="s">
        <v>38</v>
      </c>
      <c r="B40" s="3" t="s">
        <v>57</v>
      </c>
    </row>
    <row r="41" spans="1:2" x14ac:dyDescent="0.35">
      <c r="A41" s="3" t="s">
        <v>47</v>
      </c>
      <c r="B41" s="3" t="s">
        <v>48</v>
      </c>
    </row>
    <row r="42" spans="1:2" x14ac:dyDescent="0.35">
      <c r="A42" s="3" t="s">
        <v>60</v>
      </c>
      <c r="B42" s="3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F2:G2"/>
    <mergeCell ref="H2:L2"/>
    <mergeCell ref="F11:G11"/>
    <mergeCell ref="H11:L11"/>
    <mergeCell ref="F20:G20"/>
    <mergeCell ref="H20:L20"/>
  </mergeCells>
  <pageMargins left="0.7" right="0.7" top="0.75" bottom="0.75" header="0.3" footer="0.3"/>
  <pageSetup orientation="portrait" verticalDpi="0" r:id="rId1"/>
  <headerFooter>
    <oddHeader>&amp;R&amp;"Arial"&amp;10&amp;KBDBDBD DOCUMENTO INTERNO&amp;1#_x000D_</oddHeader>
  </headerFooter>
  <ignoredErrors>
    <ignoredError sqref="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CUENTAS A LA VISTA</vt:lpstr>
      <vt:lpstr>Cotizador CDP</vt:lpstr>
      <vt:lpstr>CDP</vt:lpstr>
      <vt:lpstr>Ahorro Progresivo</vt:lpstr>
      <vt:lpstr>GENERICO</vt:lpstr>
      <vt:lpstr>Formulas</vt:lpstr>
      <vt:lpstr>'Ahorro Progresivo'!Área_de_impresión</vt:lpstr>
      <vt:lpstr>'CDP'!Área_de_impresión</vt:lpstr>
      <vt:lpstr>'CUENTAS A LA VISTA'!Área_de_impresión</vt:lpstr>
      <vt:lpstr>GENERICO!Área_de_impresión</vt:lpstr>
      <vt:lpstr>'Ahorro Progresivo'!Criterios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S. Quiñonez (Analista Tecnico I de Productos)</dc:creator>
  <cp:lastModifiedBy>Eddy S. Quiñonez (Analista Tecnico I de Productos)</cp:lastModifiedBy>
  <cp:lastPrinted>2023-01-24T14:47:11Z</cp:lastPrinted>
  <dcterms:created xsi:type="dcterms:W3CDTF">2023-01-18T15:39:59Z</dcterms:created>
  <dcterms:modified xsi:type="dcterms:W3CDTF">2023-07-10T17:08:18Z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860d69-286e-4a02-b593-0e1cf0ff2d9c_Enabled">
    <vt:lpwstr>true</vt:lpwstr>
  </property>
  <property fmtid="{D5CDD505-2E9C-101B-9397-08002B2CF9AE}" pid="3" name="MSIP_Label_40860d69-286e-4a02-b593-0e1cf0ff2d9c_SetDate">
    <vt:lpwstr>2023-01-20T22:32:43Z</vt:lpwstr>
  </property>
  <property fmtid="{D5CDD505-2E9C-101B-9397-08002B2CF9AE}" pid="4" name="MSIP_Label_40860d69-286e-4a02-b593-0e1cf0ff2d9c_Method">
    <vt:lpwstr>Privileged</vt:lpwstr>
  </property>
  <property fmtid="{D5CDD505-2E9C-101B-9397-08002B2CF9AE}" pid="5" name="MSIP_Label_40860d69-286e-4a02-b593-0e1cf0ff2d9c_Name">
    <vt:lpwstr>Interna_0</vt:lpwstr>
  </property>
  <property fmtid="{D5CDD505-2E9C-101B-9397-08002B2CF9AE}" pid="6" name="MSIP_Label_40860d69-286e-4a02-b593-0e1cf0ff2d9c_SiteId">
    <vt:lpwstr>e95d19cb-8725-4b0b-8ce2-ff42be9ae6e9</vt:lpwstr>
  </property>
  <property fmtid="{D5CDD505-2E9C-101B-9397-08002B2CF9AE}" pid="7" name="MSIP_Label_40860d69-286e-4a02-b593-0e1cf0ff2d9c_ActionId">
    <vt:lpwstr>c5a147c8-3dff-4c9e-821a-05ec7e6511c5</vt:lpwstr>
  </property>
  <property fmtid="{D5CDD505-2E9C-101B-9397-08002B2CF9AE}" pid="8" name="MSIP_Label_40860d69-286e-4a02-b593-0e1cf0ff2d9c_ContentBits">
    <vt:lpwstr>1</vt:lpwstr>
  </property>
</Properties>
</file>